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600" windowHeight="11760" tabRatio="607" firstSheet="1" activeTab="1"/>
  </bookViews>
  <sheets>
    <sheet name="фот" sheetId="52" r:id="rId1"/>
    <sheet name="ар 01.09" sheetId="11" r:id="rId2"/>
    <sheet name="дом 2021 г" sheetId="14" state="hidden" r:id="rId3"/>
    <sheet name="центр" sheetId="19" state="hidden" r:id="rId4"/>
    <sheet name="нов сад" sheetId="26" state="hidden" r:id="rId5"/>
    <sheet name="нов на 01.02." sheetId="55" state="hidden" r:id="rId6"/>
    <sheet name="нов нс" sheetId="54" state="hidden" r:id="rId7"/>
    <sheet name="расс сад" sheetId="27" state="hidden" r:id="rId8"/>
    <sheet name="суриков сад" sheetId="28" state="hidden" r:id="rId9"/>
    <sheet name="свод по садам" sheetId="29" state="hidden" r:id="rId10"/>
    <sheet name="проточ ссап" sheetId="30" state="hidden" r:id="rId11"/>
    <sheet name="об сад нов" sheetId="31" state="hidden" r:id="rId12"/>
    <sheet name="Ц" sheetId="33" state="hidden" r:id="rId13"/>
    <sheet name="дт 2022" sheetId="36" state="hidden" r:id="rId14"/>
    <sheet name="Лист3" sheetId="37" state="hidden" r:id="rId15"/>
    <sheet name="аппар" sheetId="39" state="hidden" r:id="rId16"/>
    <sheet name="уб 2021" sheetId="40" state="hidden" r:id="rId17"/>
    <sheet name="2022" sheetId="41" state="hidden" r:id="rId18"/>
    <sheet name="шт 22" sheetId="42" state="hidden" r:id="rId19"/>
    <sheet name="шт ХЭК 1" sheetId="48" state="hidden" r:id="rId20"/>
    <sheet name="шт ХЭК2" sheetId="49" state="hidden" r:id="rId21"/>
    <sheet name="Лист7" sheetId="61" r:id="rId22"/>
    <sheet name="Лист8" sheetId="62" r:id="rId23"/>
    <sheet name="Лист9" sheetId="63" r:id="rId24"/>
  </sheets>
  <externalReferences>
    <externalReference r:id="rId25"/>
    <externalReference r:id="rId26"/>
    <externalReference r:id="rId27"/>
  </externalReferences>
  <calcPr calcId="124519"/>
</workbook>
</file>

<file path=xl/calcChain.xml><?xml version="1.0" encoding="utf-8"?>
<calcChain xmlns="http://schemas.openxmlformats.org/spreadsheetml/2006/main">
  <c r="K96" i="11"/>
  <c r="K95"/>
  <c r="K87"/>
  <c r="K86"/>
  <c r="K85"/>
  <c r="K84"/>
  <c r="K83"/>
  <c r="K82"/>
  <c r="K81"/>
  <c r="K80"/>
  <c r="K77"/>
  <c r="K76"/>
  <c r="K62"/>
  <c r="K61"/>
  <c r="K59"/>
  <c r="K55"/>
  <c r="K46"/>
  <c r="K45"/>
  <c r="K40"/>
  <c r="K39"/>
  <c r="K38"/>
  <c r="K24"/>
  <c r="K20"/>
  <c r="K19"/>
  <c r="CC77" l="1"/>
  <c r="CB77"/>
  <c r="CC76"/>
  <c r="CB76"/>
  <c r="CB24"/>
  <c r="BY48" l="1"/>
  <c r="M78" l="1"/>
  <c r="N78"/>
  <c r="O78"/>
  <c r="P78"/>
  <c r="Q78"/>
  <c r="R78"/>
  <c r="S78"/>
  <c r="T78"/>
  <c r="U78"/>
  <c r="V78"/>
  <c r="W78"/>
  <c r="X78"/>
  <c r="AC78"/>
  <c r="AF78"/>
  <c r="AG78"/>
  <c r="AI78"/>
  <c r="AJ78"/>
  <c r="AK78"/>
  <c r="AN78"/>
  <c r="AO78"/>
  <c r="AP78"/>
  <c r="AQ78"/>
  <c r="AR78"/>
  <c r="AS78"/>
  <c r="AT78"/>
  <c r="AU78"/>
  <c r="AV78"/>
  <c r="BB78"/>
  <c r="BD78"/>
  <c r="BE78"/>
  <c r="BF78"/>
  <c r="BH78"/>
  <c r="BJ78"/>
  <c r="BO78"/>
  <c r="BP78"/>
  <c r="BQ78"/>
  <c r="BR78"/>
  <c r="BS78"/>
  <c r="BT78"/>
  <c r="D48" i="49" l="1"/>
  <c r="D47"/>
  <c r="D46"/>
  <c r="D45"/>
  <c r="D44"/>
  <c r="D41"/>
  <c r="D40"/>
  <c r="D39"/>
  <c r="D38"/>
  <c r="D37"/>
  <c r="D36"/>
  <c r="D35"/>
  <c r="D34"/>
  <c r="D33"/>
  <c r="D49" s="1"/>
  <c r="D86"/>
  <c r="D85"/>
  <c r="D84"/>
  <c r="D83"/>
  <c r="D82"/>
  <c r="D79"/>
  <c r="D78"/>
  <c r="D77"/>
  <c r="D76"/>
  <c r="D75"/>
  <c r="D74"/>
  <c r="D73"/>
  <c r="D72"/>
  <c r="D71"/>
  <c r="D87" s="1"/>
  <c r="BR58" i="11" l="1"/>
  <c r="BR59"/>
  <c r="BR60"/>
  <c r="BR61"/>
  <c r="BR62"/>
  <c r="BP67"/>
  <c r="D29" i="55" l="1"/>
  <c r="F60"/>
  <c r="G60" s="1"/>
  <c r="D35"/>
  <c r="J60" l="1"/>
  <c r="K60" s="1"/>
  <c r="I60"/>
  <c r="K66" l="1"/>
  <c r="K65"/>
  <c r="J65"/>
  <c r="H63"/>
  <c r="H67" s="1"/>
  <c r="H75" s="1"/>
  <c r="E63"/>
  <c r="E67" s="1"/>
  <c r="E75" s="1"/>
  <c r="D63"/>
  <c r="D67" s="1"/>
  <c r="D75" s="1"/>
  <c r="K62"/>
  <c r="F61"/>
  <c r="F59"/>
  <c r="G59" s="1"/>
  <c r="G63" s="1"/>
  <c r="G67" s="1"/>
  <c r="G75" s="1"/>
  <c r="F58"/>
  <c r="I57"/>
  <c r="F57"/>
  <c r="F56"/>
  <c r="I55"/>
  <c r="F55"/>
  <c r="F54"/>
  <c r="I53"/>
  <c r="F53"/>
  <c r="J53" s="1"/>
  <c r="K53" s="1"/>
  <c r="I52"/>
  <c r="G52"/>
  <c r="F52"/>
  <c r="J52" s="1"/>
  <c r="K52" s="1"/>
  <c r="J51"/>
  <c r="K51" s="1"/>
  <c r="I51"/>
  <c r="F51"/>
  <c r="J50"/>
  <c r="I50"/>
  <c r="F50"/>
  <c r="E48"/>
  <c r="E74" s="1"/>
  <c r="K47"/>
  <c r="K46"/>
  <c r="H45"/>
  <c r="H48" s="1"/>
  <c r="H74" s="1"/>
  <c r="G45"/>
  <c r="G48" s="1"/>
  <c r="G74" s="1"/>
  <c r="F45"/>
  <c r="F48" s="1"/>
  <c r="F74" s="1"/>
  <c r="E45"/>
  <c r="D45"/>
  <c r="D48" s="1"/>
  <c r="D74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9"/>
  <c r="J39" s="1"/>
  <c r="K39" s="1"/>
  <c r="J38"/>
  <c r="K38" s="1"/>
  <c r="I38"/>
  <c r="I37"/>
  <c r="J37" s="1"/>
  <c r="K37" s="1"/>
  <c r="I36"/>
  <c r="J36" s="1"/>
  <c r="K36" s="1"/>
  <c r="I35"/>
  <c r="J35" s="1"/>
  <c r="E33"/>
  <c r="E73" s="1"/>
  <c r="K32"/>
  <c r="M31"/>
  <c r="K31"/>
  <c r="H29"/>
  <c r="H33" s="1"/>
  <c r="E29"/>
  <c r="D33"/>
  <c r="I27"/>
  <c r="J27" s="1"/>
  <c r="K27" s="1"/>
  <c r="F26"/>
  <c r="F25"/>
  <c r="F24"/>
  <c r="I24" s="1"/>
  <c r="J24" s="1"/>
  <c r="F23"/>
  <c r="I23" s="1"/>
  <c r="J23" s="1"/>
  <c r="K23" s="1"/>
  <c r="F22"/>
  <c r="I22" s="1"/>
  <c r="J22" s="1"/>
  <c r="K22" s="1"/>
  <c r="F21"/>
  <c r="K20"/>
  <c r="G20"/>
  <c r="F19"/>
  <c r="G19" s="1"/>
  <c r="E76" l="1"/>
  <c r="F63"/>
  <c r="F67" s="1"/>
  <c r="F75" s="1"/>
  <c r="J58"/>
  <c r="K58" s="1"/>
  <c r="I54"/>
  <c r="J54" s="1"/>
  <c r="K54" s="1"/>
  <c r="I56"/>
  <c r="J56" s="1"/>
  <c r="K56" s="1"/>
  <c r="I58"/>
  <c r="J55"/>
  <c r="K55" s="1"/>
  <c r="J57"/>
  <c r="K57" s="1"/>
  <c r="I19"/>
  <c r="AD36"/>
  <c r="K35"/>
  <c r="K45" s="1"/>
  <c r="K48" s="1"/>
  <c r="J45"/>
  <c r="J48" s="1"/>
  <c r="J74" s="1"/>
  <c r="D68"/>
  <c r="K14" s="1"/>
  <c r="D73"/>
  <c r="D76" s="1"/>
  <c r="K24"/>
  <c r="J26"/>
  <c r="K26" s="1"/>
  <c r="H68"/>
  <c r="H73"/>
  <c r="H76" s="1"/>
  <c r="E68"/>
  <c r="J19"/>
  <c r="I25"/>
  <c r="J25" s="1"/>
  <c r="I26"/>
  <c r="I45"/>
  <c r="I48" s="1"/>
  <c r="I74" s="1"/>
  <c r="K50"/>
  <c r="I59"/>
  <c r="J59" s="1"/>
  <c r="K59" s="1"/>
  <c r="I61"/>
  <c r="J61" s="1"/>
  <c r="K61" s="1"/>
  <c r="G21"/>
  <c r="I21" s="1"/>
  <c r="F29"/>
  <c r="F33" s="1"/>
  <c r="I63" l="1"/>
  <c r="I67" s="1"/>
  <c r="I75" s="1"/>
  <c r="G29"/>
  <c r="G33" s="1"/>
  <c r="K25"/>
  <c r="W29"/>
  <c r="AD30"/>
  <c r="K19"/>
  <c r="K74"/>
  <c r="AD48"/>
  <c r="N47"/>
  <c r="AE48"/>
  <c r="AF48" s="1"/>
  <c r="J63"/>
  <c r="F73"/>
  <c r="F76" s="1"/>
  <c r="F68"/>
  <c r="J21"/>
  <c r="I29"/>
  <c r="I33" s="1"/>
  <c r="K63"/>
  <c r="G73"/>
  <c r="G76" s="1"/>
  <c r="G68"/>
  <c r="I68" l="1"/>
  <c r="I73"/>
  <c r="I76" s="1"/>
  <c r="J64"/>
  <c r="K64" s="1"/>
  <c r="K67" s="1"/>
  <c r="AB21"/>
  <c r="K21"/>
  <c r="K29" s="1"/>
  <c r="W30"/>
  <c r="W31" s="1"/>
  <c r="J29"/>
  <c r="M29"/>
  <c r="J67" l="1"/>
  <c r="J75" s="1"/>
  <c r="AE29"/>
  <c r="K75"/>
  <c r="R68"/>
  <c r="AE67"/>
  <c r="Q67"/>
  <c r="AD67"/>
  <c r="U26"/>
  <c r="J30"/>
  <c r="K30" s="1"/>
  <c r="K33" s="1"/>
  <c r="AE24"/>
  <c r="AB65"/>
  <c r="AC65" s="1"/>
  <c r="J33" l="1"/>
  <c r="K73"/>
  <c r="K76" s="1"/>
  <c r="T33"/>
  <c r="K68"/>
  <c r="AD33"/>
  <c r="J73"/>
  <c r="J76" s="1"/>
  <c r="J68"/>
  <c r="J13" s="1"/>
  <c r="E75" i="11" l="1"/>
  <c r="E78" s="1"/>
  <c r="G75"/>
  <c r="G78" s="1"/>
  <c r="H75"/>
  <c r="H78" s="1"/>
  <c r="D75"/>
  <c r="D78" s="1"/>
  <c r="K72"/>
  <c r="K73"/>
  <c r="K74"/>
  <c r="K65" i="26" l="1"/>
  <c r="K64"/>
  <c r="K63"/>
  <c r="K60"/>
  <c r="K59"/>
  <c r="K58"/>
  <c r="K57"/>
  <c r="K56"/>
  <c r="K55"/>
  <c r="K54"/>
  <c r="K53"/>
  <c r="K52"/>
  <c r="K51"/>
  <c r="K50"/>
  <c r="K47"/>
  <c r="K46"/>
  <c r="K43"/>
  <c r="K42"/>
  <c r="K41"/>
  <c r="K40"/>
  <c r="K39"/>
  <c r="K38"/>
  <c r="K37"/>
  <c r="K36"/>
  <c r="K35"/>
  <c r="K32"/>
  <c r="K31"/>
  <c r="K26"/>
  <c r="K20"/>
  <c r="K21"/>
  <c r="K22"/>
  <c r="K23"/>
  <c r="K24"/>
  <c r="K19"/>
  <c r="F33" i="39" l="1"/>
  <c r="Q24" l="1"/>
  <c r="N24"/>
  <c r="M24"/>
  <c r="L24"/>
  <c r="K24"/>
  <c r="I24"/>
  <c r="H24"/>
  <c r="G24"/>
  <c r="F24"/>
  <c r="E24"/>
  <c r="D24"/>
  <c r="AH29" i="42"/>
  <c r="T28"/>
  <c r="T31"/>
  <c r="AH15" l="1"/>
  <c r="AH17"/>
  <c r="AH19"/>
  <c r="AH21"/>
  <c r="AH23"/>
  <c r="AH25"/>
  <c r="AH26"/>
  <c r="R17" i="39"/>
  <c r="E33"/>
  <c r="Q18"/>
  <c r="N18"/>
  <c r="L18"/>
  <c r="J18"/>
  <c r="J24" s="1"/>
  <c r="H18"/>
  <c r="F18"/>
  <c r="O18" l="1"/>
  <c r="P18" l="1"/>
  <c r="O24"/>
  <c r="R23"/>
  <c r="P24" l="1"/>
  <c r="R18"/>
  <c r="R24" s="1"/>
  <c r="H33" i="52" l="1"/>
  <c r="N33" s="1"/>
  <c r="G33"/>
  <c r="N32"/>
  <c r="H32"/>
  <c r="G32"/>
  <c r="H31"/>
  <c r="N31" s="1"/>
  <c r="G31"/>
  <c r="D31"/>
  <c r="BO50" i="11" l="1"/>
  <c r="I64"/>
  <c r="J64" s="1"/>
  <c r="K64" s="1"/>
  <c r="I65"/>
  <c r="J65" s="1"/>
  <c r="K65" s="1"/>
  <c r="I66"/>
  <c r="J66" s="1"/>
  <c r="K66" s="1"/>
  <c r="I67"/>
  <c r="J67" l="1"/>
  <c r="K67" s="1"/>
  <c r="G30" i="52" l="1"/>
  <c r="G23"/>
  <c r="G22"/>
  <c r="G21"/>
  <c r="H23" l="1"/>
  <c r="H22"/>
  <c r="H21"/>
  <c r="N23" l="1"/>
  <c r="N22"/>
  <c r="D21"/>
  <c r="N21" s="1"/>
  <c r="H19" l="1"/>
  <c r="N19" s="1"/>
  <c r="G19"/>
  <c r="D19"/>
  <c r="H18"/>
  <c r="N18" s="1"/>
  <c r="G18"/>
  <c r="C18"/>
  <c r="H17"/>
  <c r="N17" s="1"/>
  <c r="G17"/>
  <c r="D17"/>
  <c r="P14" l="1"/>
  <c r="G28" l="1"/>
  <c r="G14"/>
  <c r="H14"/>
  <c r="H11"/>
  <c r="H8"/>
  <c r="H5"/>
  <c r="H2"/>
  <c r="H3"/>
  <c r="H4"/>
  <c r="G16"/>
  <c r="G15"/>
  <c r="D16" l="1"/>
  <c r="H16" s="1"/>
  <c r="N16" s="1"/>
  <c r="C15"/>
  <c r="H15" s="1"/>
  <c r="N15" s="1"/>
  <c r="D14"/>
  <c r="N14" s="1"/>
  <c r="G11" l="1"/>
  <c r="N11"/>
  <c r="H13"/>
  <c r="H12"/>
  <c r="H10"/>
  <c r="H9"/>
  <c r="G13" l="1"/>
  <c r="G12"/>
  <c r="G9" l="1"/>
  <c r="G10"/>
  <c r="G8"/>
  <c r="M8"/>
  <c r="C8"/>
  <c r="G3" l="1"/>
  <c r="G2"/>
  <c r="G4"/>
  <c r="G6" l="1"/>
  <c r="G7"/>
  <c r="G5" l="1"/>
  <c r="H7"/>
  <c r="H6"/>
  <c r="F38" i="11" l="1"/>
  <c r="F40"/>
  <c r="G40" s="1"/>
  <c r="E94"/>
  <c r="E97" s="1"/>
  <c r="D94"/>
  <c r="D97" s="1"/>
  <c r="K93"/>
  <c r="J92"/>
  <c r="K91"/>
  <c r="J90"/>
  <c r="J89"/>
  <c r="K89" s="1"/>
  <c r="J88"/>
  <c r="K88" s="1"/>
  <c r="F87"/>
  <c r="H86"/>
  <c r="F85"/>
  <c r="F84"/>
  <c r="G84" s="1"/>
  <c r="I83"/>
  <c r="J83" s="1"/>
  <c r="F82"/>
  <c r="I81"/>
  <c r="J81" s="1"/>
  <c r="F80"/>
  <c r="K90" l="1"/>
  <c r="K92"/>
  <c r="I86"/>
  <c r="I87"/>
  <c r="H82"/>
  <c r="G82"/>
  <c r="H84"/>
  <c r="G80"/>
  <c r="H80"/>
  <c r="F94"/>
  <c r="F97" s="1"/>
  <c r="I40"/>
  <c r="J40" s="1"/>
  <c r="G38"/>
  <c r="G85"/>
  <c r="I82"/>
  <c r="J82" s="1"/>
  <c r="H85"/>
  <c r="I84" l="1"/>
  <c r="J84" s="1"/>
  <c r="J86"/>
  <c r="J87"/>
  <c r="I38"/>
  <c r="J85"/>
  <c r="I85"/>
  <c r="G94"/>
  <c r="G97" s="1"/>
  <c r="H94"/>
  <c r="H97" s="1"/>
  <c r="I80"/>
  <c r="I94" s="1"/>
  <c r="I97" s="1"/>
  <c r="J38" l="1"/>
  <c r="J80"/>
  <c r="J94" l="1"/>
  <c r="K94"/>
  <c r="J95" l="1"/>
  <c r="K97" l="1"/>
  <c r="BV97" s="1"/>
  <c r="J97"/>
  <c r="BN77" l="1"/>
  <c r="BN78" s="1"/>
  <c r="I52" l="1"/>
  <c r="I53"/>
  <c r="I54"/>
  <c r="F56"/>
  <c r="F68"/>
  <c r="J52" l="1"/>
  <c r="K52" s="1"/>
  <c r="J53"/>
  <c r="K53" s="1"/>
  <c r="J54"/>
  <c r="K54" s="1"/>
  <c r="F75"/>
  <c r="F78" s="1"/>
  <c r="K65" i="27" l="1"/>
  <c r="K64"/>
  <c r="G56"/>
  <c r="H55"/>
  <c r="H56"/>
  <c r="H57"/>
  <c r="H58"/>
  <c r="H59"/>
  <c r="H60"/>
  <c r="H61"/>
  <c r="H54"/>
  <c r="H53"/>
  <c r="G53"/>
  <c r="K52"/>
  <c r="H52"/>
  <c r="G52"/>
  <c r="Y28"/>
  <c r="J30"/>
  <c r="H25"/>
  <c r="K33"/>
  <c r="K32"/>
  <c r="K31"/>
  <c r="K20"/>
  <c r="K21"/>
  <c r="K22"/>
  <c r="K26"/>
  <c r="K19"/>
  <c r="Z49"/>
  <c r="Z48"/>
  <c r="Y48"/>
  <c r="X48"/>
  <c r="K48" l="1"/>
  <c r="K47"/>
  <c r="K37" l="1"/>
  <c r="K39"/>
  <c r="K36"/>
  <c r="E39" i="31" l="1"/>
  <c r="D37"/>
  <c r="E37"/>
  <c r="E36"/>
  <c r="E25"/>
  <c r="K46" i="30"/>
  <c r="K47" l="1"/>
  <c r="J64" i="26" l="1"/>
  <c r="J63" i="30"/>
  <c r="J62"/>
  <c r="J30" l="1"/>
  <c r="G20" i="26" l="1"/>
  <c r="G21"/>
  <c r="K38" i="30"/>
  <c r="K31"/>
  <c r="K64"/>
  <c r="K65"/>
  <c r="H61"/>
  <c r="K53"/>
  <c r="K54"/>
  <c r="K56"/>
  <c r="K57"/>
  <c r="K58"/>
  <c r="K52"/>
  <c r="AH30" i="42" l="1"/>
  <c r="AH18" i="49" l="1"/>
  <c r="AH17"/>
  <c r="AD16"/>
  <c r="AD19" s="1"/>
  <c r="AB16"/>
  <c r="AB19" s="1"/>
  <c r="Z16"/>
  <c r="Z19" s="1"/>
  <c r="X16"/>
  <c r="X19" s="1"/>
  <c r="V16"/>
  <c r="V19" s="1"/>
  <c r="U16"/>
  <c r="U19" s="1"/>
  <c r="AH7" s="1"/>
  <c r="W15"/>
  <c r="W14"/>
  <c r="AC14" s="1"/>
  <c r="W13"/>
  <c r="AA13" s="1"/>
  <c r="AA12"/>
  <c r="W12"/>
  <c r="Y12" s="1"/>
  <c r="AC13" l="1"/>
  <c r="AC16" s="1"/>
  <c r="AC19" s="1"/>
  <c r="W16"/>
  <c r="W19" s="1"/>
  <c r="AE12"/>
  <c r="Y14"/>
  <c r="AF14"/>
  <c r="AE15"/>
  <c r="AF12"/>
  <c r="Y13"/>
  <c r="Y16" s="1"/>
  <c r="Y19" s="1"/>
  <c r="AA14"/>
  <c r="AA16" s="1"/>
  <c r="AA19" s="1"/>
  <c r="AH15" i="48"/>
  <c r="AH16"/>
  <c r="AF10"/>
  <c r="AD14"/>
  <c r="AD17" s="1"/>
  <c r="AB14"/>
  <c r="AB17" s="1"/>
  <c r="Z14"/>
  <c r="Z17" s="1"/>
  <c r="X14"/>
  <c r="X17" s="1"/>
  <c r="V14"/>
  <c r="V17" s="1"/>
  <c r="U14"/>
  <c r="U17" s="1"/>
  <c r="AH5" s="1"/>
  <c r="W13"/>
  <c r="AE13" s="1"/>
  <c r="AG13" s="1"/>
  <c r="AH13" s="1"/>
  <c r="W12"/>
  <c r="AC12" s="1"/>
  <c r="W11"/>
  <c r="W10"/>
  <c r="Y10" s="1"/>
  <c r="AE14" i="49" l="1"/>
  <c r="AG14"/>
  <c r="AH14" s="1"/>
  <c r="AG12"/>
  <c r="AF16"/>
  <c r="AF19" s="1"/>
  <c r="AE13"/>
  <c r="AG13" s="1"/>
  <c r="AH13" s="1"/>
  <c r="AG15"/>
  <c r="AF12" i="48"/>
  <c r="AF14" s="1"/>
  <c r="AF17" s="1"/>
  <c r="Y12"/>
  <c r="AA12"/>
  <c r="AE12" s="1"/>
  <c r="W14"/>
  <c r="W17" s="1"/>
  <c r="AA10"/>
  <c r="AE10" s="1"/>
  <c r="AG10" s="1"/>
  <c r="Y11"/>
  <c r="AC11"/>
  <c r="AC14" s="1"/>
  <c r="AC17" s="1"/>
  <c r="AA11"/>
  <c r="AE16" i="49" l="1"/>
  <c r="AE19" s="1"/>
  <c r="AH15"/>
  <c r="AG16"/>
  <c r="AG19" s="1"/>
  <c r="AG8" s="1"/>
  <c r="AI15"/>
  <c r="AH12"/>
  <c r="AG12" i="48"/>
  <c r="AH12" s="1"/>
  <c r="AA14"/>
  <c r="AA17" s="1"/>
  <c r="AE11"/>
  <c r="AG11" s="1"/>
  <c r="Y14"/>
  <c r="Y17" s="1"/>
  <c r="AI13"/>
  <c r="AH10"/>
  <c r="AH16" i="49" l="1"/>
  <c r="AH19" s="1"/>
  <c r="AE14" i="48"/>
  <c r="AE17" s="1"/>
  <c r="AH11" l="1"/>
  <c r="AH14" s="1"/>
  <c r="AH17" s="1"/>
  <c r="AG14"/>
  <c r="AG17" s="1"/>
  <c r="AG6" s="1"/>
  <c r="AG20"/>
  <c r="N25" i="33" l="1"/>
  <c r="V47" i="28" l="1"/>
  <c r="N44" i="33" l="1"/>
  <c r="D31"/>
  <c r="D29" i="26" l="1"/>
  <c r="K24" i="33" l="1"/>
  <c r="K33"/>
  <c r="N61" i="36" l="1"/>
  <c r="O61"/>
  <c r="P61"/>
  <c r="Q61"/>
  <c r="I26"/>
  <c r="K47" i="28" l="1"/>
  <c r="K46"/>
  <c r="U31" i="42" l="1"/>
  <c r="AE31"/>
  <c r="O43" i="36" l="1"/>
  <c r="P43"/>
  <c r="Q43"/>
  <c r="M27"/>
  <c r="M61" s="1"/>
  <c r="L27"/>
  <c r="L61" s="1"/>
  <c r="K27"/>
  <c r="K61" s="1"/>
  <c r="J26"/>
  <c r="G25"/>
  <c r="G27" s="1"/>
  <c r="G61" s="1"/>
  <c r="F25"/>
  <c r="F27" s="1"/>
  <c r="F61" s="1"/>
  <c r="E25"/>
  <c r="E27" s="1"/>
  <c r="E61" s="1"/>
  <c r="D25"/>
  <c r="D27" s="1"/>
  <c r="D61" s="1"/>
  <c r="C25"/>
  <c r="C27" s="1"/>
  <c r="C61" s="1"/>
  <c r="H24"/>
  <c r="I24" s="1"/>
  <c r="J24" s="1"/>
  <c r="H23"/>
  <c r="I23" s="1"/>
  <c r="J23" s="1"/>
  <c r="H22"/>
  <c r="I22" s="1"/>
  <c r="H21"/>
  <c r="J18"/>
  <c r="D16"/>
  <c r="D19" s="1"/>
  <c r="C16"/>
  <c r="C19" s="1"/>
  <c r="E15"/>
  <c r="E16" s="1"/>
  <c r="E19" s="1"/>
  <c r="K54"/>
  <c r="J53"/>
  <c r="G52"/>
  <c r="G54" s="1"/>
  <c r="D52"/>
  <c r="D54" s="1"/>
  <c r="C52"/>
  <c r="C54" s="1"/>
  <c r="H51"/>
  <c r="I51" s="1"/>
  <c r="J51" s="1"/>
  <c r="E50"/>
  <c r="J41"/>
  <c r="J40"/>
  <c r="G39"/>
  <c r="G42" s="1"/>
  <c r="F39"/>
  <c r="F42" s="1"/>
  <c r="D39"/>
  <c r="D42" s="1"/>
  <c r="D43" s="1"/>
  <c r="D55" s="1"/>
  <c r="C39"/>
  <c r="C42" s="1"/>
  <c r="E38"/>
  <c r="H38" s="1"/>
  <c r="I38" s="1"/>
  <c r="M37"/>
  <c r="M60" s="1"/>
  <c r="L37"/>
  <c r="L60" s="1"/>
  <c r="K37"/>
  <c r="K60" s="1"/>
  <c r="I36"/>
  <c r="J36" s="1"/>
  <c r="G35"/>
  <c r="G37" s="1"/>
  <c r="F35"/>
  <c r="F37" s="1"/>
  <c r="E35"/>
  <c r="E37" s="1"/>
  <c r="D35"/>
  <c r="D37" s="1"/>
  <c r="C35"/>
  <c r="C37" s="1"/>
  <c r="C60" s="1"/>
  <c r="C62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D60" l="1"/>
  <c r="L43"/>
  <c r="H25"/>
  <c r="H27" s="1"/>
  <c r="H61" s="1"/>
  <c r="M43"/>
  <c r="K43"/>
  <c r="C43"/>
  <c r="E43"/>
  <c r="F15"/>
  <c r="F16" s="1"/>
  <c r="F19" s="1"/>
  <c r="H35"/>
  <c r="H37" s="1"/>
  <c r="K23"/>
  <c r="J22"/>
  <c r="G15"/>
  <c r="G16" s="1"/>
  <c r="G19" s="1"/>
  <c r="G60" s="1"/>
  <c r="I21"/>
  <c r="E39"/>
  <c r="E42" s="1"/>
  <c r="E60" s="1"/>
  <c r="I29"/>
  <c r="I35" s="1"/>
  <c r="I37" s="1"/>
  <c r="I39"/>
  <c r="I42" s="1"/>
  <c r="J38"/>
  <c r="J39" s="1"/>
  <c r="J42" s="1"/>
  <c r="F50"/>
  <c r="F52" s="1"/>
  <c r="F54" s="1"/>
  <c r="F60" s="1"/>
  <c r="H39"/>
  <c r="H42" s="1"/>
  <c r="E52"/>
  <c r="E54" s="1"/>
  <c r="E55" l="1"/>
  <c r="C55"/>
  <c r="I10" s="1"/>
  <c r="G43"/>
  <c r="G55" s="1"/>
  <c r="F43"/>
  <c r="F55" s="1"/>
  <c r="H50"/>
  <c r="H52" s="1"/>
  <c r="H54" s="1"/>
  <c r="H60" s="1"/>
  <c r="K30"/>
  <c r="J29"/>
  <c r="J35" s="1"/>
  <c r="J37" s="1"/>
  <c r="H15"/>
  <c r="H16" s="1"/>
  <c r="H19" s="1"/>
  <c r="J21"/>
  <c r="J25" s="1"/>
  <c r="J27" s="1"/>
  <c r="J61" s="1"/>
  <c r="I25"/>
  <c r="I27" s="1"/>
  <c r="I50"/>
  <c r="J50" s="1"/>
  <c r="J52" s="1"/>
  <c r="J54" s="1"/>
  <c r="R27" l="1"/>
  <c r="R61" s="1"/>
  <c r="I61"/>
  <c r="H43"/>
  <c r="H55" s="1"/>
  <c r="I15"/>
  <c r="J15" s="1"/>
  <c r="J16" s="1"/>
  <c r="I52"/>
  <c r="I54" s="1"/>
  <c r="I16"/>
  <c r="I17" l="1"/>
  <c r="J17" s="1"/>
  <c r="J19" s="1"/>
  <c r="J60" l="1"/>
  <c r="J62" s="1"/>
  <c r="J43"/>
  <c r="J55" s="1"/>
  <c r="I19"/>
  <c r="AC31" i="42"/>
  <c r="AA28"/>
  <c r="AA31" s="1"/>
  <c r="Y28"/>
  <c r="Y31" s="1"/>
  <c r="W28"/>
  <c r="W31" s="1"/>
  <c r="AH6"/>
  <c r="V27"/>
  <c r="Z27" s="1"/>
  <c r="AB26"/>
  <c r="V26"/>
  <c r="Z26" s="1"/>
  <c r="V25"/>
  <c r="AB25" s="1"/>
  <c r="V24"/>
  <c r="AB24" s="1"/>
  <c r="V23"/>
  <c r="Z23" s="1"/>
  <c r="AB22"/>
  <c r="Z22"/>
  <c r="V22"/>
  <c r="V21"/>
  <c r="AB21" s="1"/>
  <c r="V20"/>
  <c r="AB20" s="1"/>
  <c r="AB19"/>
  <c r="V19"/>
  <c r="Z19" s="1"/>
  <c r="V18"/>
  <c r="Z18" s="1"/>
  <c r="V17"/>
  <c r="AB17" s="1"/>
  <c r="V16"/>
  <c r="Z16" s="1"/>
  <c r="V15"/>
  <c r="Z15" s="1"/>
  <c r="V14"/>
  <c r="AB14" s="1"/>
  <c r="V13"/>
  <c r="Z13" s="1"/>
  <c r="AB12"/>
  <c r="V12"/>
  <c r="AG29" i="41"/>
  <c r="AH29" s="1"/>
  <c r="AB27" i="42" l="1"/>
  <c r="AB18"/>
  <c r="AB23"/>
  <c r="AB15"/>
  <c r="Z14"/>
  <c r="V28"/>
  <c r="V31" s="1"/>
  <c r="Z17"/>
  <c r="Z21"/>
  <c r="Z25"/>
  <c r="Z12"/>
  <c r="AB13"/>
  <c r="Z20"/>
  <c r="Z24"/>
  <c r="AB16"/>
  <c r="I43" i="36"/>
  <c r="I55" s="1"/>
  <c r="J56" s="1"/>
  <c r="N19"/>
  <c r="N43" s="1"/>
  <c r="R19"/>
  <c r="R43" s="1"/>
  <c r="I60"/>
  <c r="I62" s="1"/>
  <c r="X12" i="42"/>
  <c r="X13"/>
  <c r="AF13" s="1"/>
  <c r="X14"/>
  <c r="X15"/>
  <c r="AD15" s="1"/>
  <c r="X16"/>
  <c r="X17"/>
  <c r="AF17" s="1"/>
  <c r="X18"/>
  <c r="AF18" s="1"/>
  <c r="X19"/>
  <c r="AF19" s="1"/>
  <c r="X20"/>
  <c r="AF20" s="1"/>
  <c r="X21"/>
  <c r="AF21" s="1"/>
  <c r="X22"/>
  <c r="AF22" s="1"/>
  <c r="X23"/>
  <c r="AF23" s="1"/>
  <c r="X24"/>
  <c r="X25"/>
  <c r="AF25" s="1"/>
  <c r="X26"/>
  <c r="AF26" s="1"/>
  <c r="X27"/>
  <c r="AF27" s="1"/>
  <c r="AD24" l="1"/>
  <c r="AF16"/>
  <c r="AG16" s="1"/>
  <c r="AH16" s="1"/>
  <c r="AD16"/>
  <c r="AB28"/>
  <c r="AB31" s="1"/>
  <c r="AF14"/>
  <c r="AF24"/>
  <c r="AD20"/>
  <c r="AG20" s="1"/>
  <c r="AH20" s="1"/>
  <c r="Z28"/>
  <c r="Z31" s="1"/>
  <c r="X28"/>
  <c r="X31" s="1"/>
  <c r="AD12"/>
  <c r="AD27"/>
  <c r="AG27" s="1"/>
  <c r="AH27" s="1"/>
  <c r="AD19"/>
  <c r="AG19" s="1"/>
  <c r="AF15"/>
  <c r="AG15" s="1"/>
  <c r="AD26"/>
  <c r="AG26" s="1"/>
  <c r="AD22"/>
  <c r="AG22" s="1"/>
  <c r="AH22" s="1"/>
  <c r="AD18"/>
  <c r="AG18" s="1"/>
  <c r="AH18" s="1"/>
  <c r="AD14"/>
  <c r="AD23"/>
  <c r="AG23" s="1"/>
  <c r="AF12"/>
  <c r="AD25"/>
  <c r="AG25" s="1"/>
  <c r="AD21"/>
  <c r="AG21" s="1"/>
  <c r="AD17"/>
  <c r="AG17" s="1"/>
  <c r="AD13"/>
  <c r="AG13" s="1"/>
  <c r="AH13" s="1"/>
  <c r="AG24" l="1"/>
  <c r="AH24" s="1"/>
  <c r="AG14"/>
  <c r="AH14" s="1"/>
  <c r="AF28"/>
  <c r="AF31" s="1"/>
  <c r="AG12"/>
  <c r="AH12" s="1"/>
  <c r="AD28"/>
  <c r="AD31" s="1"/>
  <c r="AG28" l="1"/>
  <c r="AH28"/>
  <c r="AH31" s="1"/>
  <c r="AI29" l="1"/>
  <c r="AG31"/>
  <c r="AH7" s="1"/>
  <c r="AE31" i="41"/>
  <c r="U31"/>
  <c r="AH30"/>
  <c r="AC28"/>
  <c r="AC31" s="1"/>
  <c r="AA28"/>
  <c r="AA31" s="1"/>
  <c r="Y28"/>
  <c r="Y31" s="1"/>
  <c r="W28"/>
  <c r="W31" s="1"/>
  <c r="T28"/>
  <c r="T31" s="1"/>
  <c r="AH6" s="1"/>
  <c r="V27"/>
  <c r="V26"/>
  <c r="V25"/>
  <c r="V24"/>
  <c r="V23"/>
  <c r="V22"/>
  <c r="V21"/>
  <c r="V20"/>
  <c r="V19"/>
  <c r="V18"/>
  <c r="V17"/>
  <c r="V16"/>
  <c r="V15"/>
  <c r="V14"/>
  <c r="V13"/>
  <c r="AB12"/>
  <c r="X12"/>
  <c r="V12"/>
  <c r="AB13" l="1"/>
  <c r="Z13"/>
  <c r="AB14"/>
  <c r="Z14"/>
  <c r="AB15"/>
  <c r="Z15"/>
  <c r="AB16"/>
  <c r="Z16"/>
  <c r="AB17"/>
  <c r="Z17"/>
  <c r="AB18"/>
  <c r="Z18"/>
  <c r="AB19"/>
  <c r="Z19"/>
  <c r="AB20"/>
  <c r="Z20"/>
  <c r="AB21"/>
  <c r="Z21"/>
  <c r="AB22"/>
  <c r="Z22"/>
  <c r="AB23"/>
  <c r="Z23"/>
  <c r="AB24"/>
  <c r="Z24"/>
  <c r="AB25"/>
  <c r="Z25"/>
  <c r="AB26"/>
  <c r="Z26"/>
  <c r="X13"/>
  <c r="X14"/>
  <c r="X15"/>
  <c r="AF15" s="1"/>
  <c r="X16"/>
  <c r="X17"/>
  <c r="X18"/>
  <c r="X19"/>
  <c r="AF19" s="1"/>
  <c r="X20"/>
  <c r="X21"/>
  <c r="X22"/>
  <c r="AF22" s="1"/>
  <c r="X23"/>
  <c r="AF23" s="1"/>
  <c r="X24"/>
  <c r="X25"/>
  <c r="X26"/>
  <c r="AD15"/>
  <c r="Z12"/>
  <c r="V28"/>
  <c r="V31" s="1"/>
  <c r="AF13"/>
  <c r="AF21"/>
  <c r="AF25"/>
  <c r="AB27"/>
  <c r="Z27"/>
  <c r="X27"/>
  <c r="AM17" i="40"/>
  <c r="U15"/>
  <c r="T15"/>
  <c r="T18" s="1"/>
  <c r="AN6" s="1"/>
  <c r="V14"/>
  <c r="AL13"/>
  <c r="AF13"/>
  <c r="AD13"/>
  <c r="AB13"/>
  <c r="Z13"/>
  <c r="X13"/>
  <c r="L11" i="39"/>
  <c r="Q22"/>
  <c r="N22"/>
  <c r="L22"/>
  <c r="J22"/>
  <c r="H22"/>
  <c r="F22"/>
  <c r="Q21"/>
  <c r="N21"/>
  <c r="L21"/>
  <c r="J21"/>
  <c r="H21"/>
  <c r="F21"/>
  <c r="Q20"/>
  <c r="L20"/>
  <c r="J20"/>
  <c r="H20"/>
  <c r="F20"/>
  <c r="N20" s="1"/>
  <c r="Q19"/>
  <c r="F19"/>
  <c r="L19" s="1"/>
  <c r="Q17"/>
  <c r="N17"/>
  <c r="L17"/>
  <c r="J17"/>
  <c r="H17"/>
  <c r="F17"/>
  <c r="AD18" i="41" l="1"/>
  <c r="AD23"/>
  <c r="AG23" s="1"/>
  <c r="AH23" s="1"/>
  <c r="AD19"/>
  <c r="AG19" s="1"/>
  <c r="AH19" s="1"/>
  <c r="AD24"/>
  <c r="AD20"/>
  <c r="AD16"/>
  <c r="AF24"/>
  <c r="AG24" s="1"/>
  <c r="AH24" s="1"/>
  <c r="AF20"/>
  <c r="AF16"/>
  <c r="AG16" s="1"/>
  <c r="AH16" s="1"/>
  <c r="AH13" i="40"/>
  <c r="AF26" i="41"/>
  <c r="AD22"/>
  <c r="O21" i="39"/>
  <c r="P21" s="1"/>
  <c r="R21" s="1"/>
  <c r="AF18" i="41"/>
  <c r="Z28"/>
  <c r="Z31" s="1"/>
  <c r="AD25"/>
  <c r="AD21"/>
  <c r="AD17"/>
  <c r="AD13"/>
  <c r="AF17"/>
  <c r="O22" i="39"/>
  <c r="P22" s="1"/>
  <c r="R22" s="1"/>
  <c r="AB28" i="41"/>
  <c r="AB31" s="1"/>
  <c r="AD14"/>
  <c r="AF14"/>
  <c r="AG20"/>
  <c r="AH20" s="1"/>
  <c r="AG22"/>
  <c r="AH22" s="1"/>
  <c r="AD27"/>
  <c r="AG17"/>
  <c r="AH17" s="1"/>
  <c r="AD26"/>
  <c r="AF27"/>
  <c r="AF12"/>
  <c r="AG18"/>
  <c r="AH18" s="1"/>
  <c r="X28"/>
  <c r="X31" s="1"/>
  <c r="AG25"/>
  <c r="AH25" s="1"/>
  <c r="AG21"/>
  <c r="AH21" s="1"/>
  <c r="AG13"/>
  <c r="AH13" s="1"/>
  <c r="AG15"/>
  <c r="AH15" s="1"/>
  <c r="AD12"/>
  <c r="AJ13" i="40"/>
  <c r="AD14"/>
  <c r="AD15" s="1"/>
  <c r="AD18" s="1"/>
  <c r="X14"/>
  <c r="AF14"/>
  <c r="AF15" s="1"/>
  <c r="AF18" s="1"/>
  <c r="AL14"/>
  <c r="AL15" s="1"/>
  <c r="V15"/>
  <c r="V18" s="1"/>
  <c r="Z14"/>
  <c r="Z15" s="1"/>
  <c r="Z18" s="1"/>
  <c r="X15"/>
  <c r="X18" s="1"/>
  <c r="AB14"/>
  <c r="AB15" s="1"/>
  <c r="AB18" s="1"/>
  <c r="O20" i="39"/>
  <c r="P20" s="1"/>
  <c r="R20" s="1"/>
  <c r="O17"/>
  <c r="N19"/>
  <c r="H19"/>
  <c r="J19"/>
  <c r="AG26" i="41" l="1"/>
  <c r="AH26" s="1"/>
  <c r="O19" i="39"/>
  <c r="P19" s="1"/>
  <c r="R19" s="1"/>
  <c r="AG14" i="41"/>
  <c r="AH14" s="1"/>
  <c r="AD28"/>
  <c r="AD31" s="1"/>
  <c r="AF28"/>
  <c r="AF31" s="1"/>
  <c r="AG12"/>
  <c r="AH12" s="1"/>
  <c r="AG27"/>
  <c r="AK13" i="40"/>
  <c r="AH14"/>
  <c r="AH15" s="1"/>
  <c r="AH18" s="1"/>
  <c r="AJ14"/>
  <c r="AK14" s="1"/>
  <c r="AM14" s="1"/>
  <c r="P17" i="39"/>
  <c r="S17" l="1"/>
  <c r="AG28" i="41"/>
  <c r="AG31" s="1"/>
  <c r="AH7" s="1"/>
  <c r="AH27"/>
  <c r="AH28" s="1"/>
  <c r="AH31" s="1"/>
  <c r="AM13" i="40"/>
  <c r="AM15" s="1"/>
  <c r="AM18" s="1"/>
  <c r="AK15"/>
  <c r="AK18" s="1"/>
  <c r="AN7" s="1"/>
  <c r="AJ15"/>
  <c r="AJ18" s="1"/>
  <c r="M12" i="39"/>
  <c r="K44" i="33" l="1"/>
  <c r="K32"/>
  <c r="K23"/>
  <c r="E42"/>
  <c r="E45" s="1"/>
  <c r="D42"/>
  <c r="D45" s="1"/>
  <c r="J39"/>
  <c r="F37"/>
  <c r="F36"/>
  <c r="K35"/>
  <c r="J35"/>
  <c r="H31"/>
  <c r="H34" s="1"/>
  <c r="G31"/>
  <c r="G34" s="1"/>
  <c r="E31"/>
  <c r="E34" s="1"/>
  <c r="D34"/>
  <c r="D46" s="1"/>
  <c r="F30"/>
  <c r="F29"/>
  <c r="F28"/>
  <c r="F27"/>
  <c r="F26"/>
  <c r="G22"/>
  <c r="G25" s="1"/>
  <c r="E22"/>
  <c r="D22"/>
  <c r="D25" s="1"/>
  <c r="J20"/>
  <c r="J19"/>
  <c r="F18"/>
  <c r="F31" l="1"/>
  <c r="F34" s="1"/>
  <c r="E25"/>
  <c r="E46" s="1"/>
  <c r="I18"/>
  <c r="I22" s="1"/>
  <c r="I25" s="1"/>
  <c r="J12"/>
  <c r="J29"/>
  <c r="K29" s="1"/>
  <c r="I36"/>
  <c r="J36" s="1"/>
  <c r="K36" s="1"/>
  <c r="I37"/>
  <c r="J37" s="1"/>
  <c r="K37" s="1"/>
  <c r="G42"/>
  <c r="G45" s="1"/>
  <c r="G46" s="1"/>
  <c r="F42"/>
  <c r="F45" s="1"/>
  <c r="H18"/>
  <c r="F22"/>
  <c r="F25" s="1"/>
  <c r="I26"/>
  <c r="I27"/>
  <c r="J27" s="1"/>
  <c r="K27" s="1"/>
  <c r="I28"/>
  <c r="J28" s="1"/>
  <c r="K28" s="1"/>
  <c r="I29"/>
  <c r="I30"/>
  <c r="J30" s="1"/>
  <c r="K30" s="1"/>
  <c r="H42"/>
  <c r="H45" s="1"/>
  <c r="I31" l="1"/>
  <c r="I34" s="1"/>
  <c r="F46"/>
  <c r="J26"/>
  <c r="K26" s="1"/>
  <c r="H22"/>
  <c r="J18"/>
  <c r="K18" s="1"/>
  <c r="I42"/>
  <c r="I45" s="1"/>
  <c r="H25" l="1"/>
  <c r="H46" s="1"/>
  <c r="I46"/>
  <c r="J31"/>
  <c r="J34" s="1"/>
  <c r="K31"/>
  <c r="K34" s="1"/>
  <c r="J42"/>
  <c r="K42"/>
  <c r="J22"/>
  <c r="J25" s="1"/>
  <c r="K22"/>
  <c r="K25" s="1"/>
  <c r="J43" l="1"/>
  <c r="K43" l="1"/>
  <c r="K45" s="1"/>
  <c r="K46" s="1"/>
  <c r="J45"/>
  <c r="J46" s="1"/>
  <c r="L47" s="1"/>
  <c r="K65" i="28"/>
  <c r="K64"/>
  <c r="K31"/>
  <c r="J65" i="31" l="1"/>
  <c r="S65" s="1"/>
  <c r="I65"/>
  <c r="H65"/>
  <c r="G65"/>
  <c r="F65"/>
  <c r="E65"/>
  <c r="D65"/>
  <c r="J64"/>
  <c r="S64" s="1"/>
  <c r="I64"/>
  <c r="H64"/>
  <c r="G64"/>
  <c r="F64"/>
  <c r="E64"/>
  <c r="D64"/>
  <c r="I63"/>
  <c r="H63"/>
  <c r="G63"/>
  <c r="F63"/>
  <c r="E63"/>
  <c r="D63"/>
  <c r="H61"/>
  <c r="E61"/>
  <c r="D61"/>
  <c r="H60"/>
  <c r="G60"/>
  <c r="E60"/>
  <c r="D60"/>
  <c r="H59"/>
  <c r="E59"/>
  <c r="D59"/>
  <c r="H58"/>
  <c r="G58"/>
  <c r="E58"/>
  <c r="D58"/>
  <c r="H57"/>
  <c r="G57"/>
  <c r="E57"/>
  <c r="D57"/>
  <c r="H56"/>
  <c r="G56"/>
  <c r="E56"/>
  <c r="D56"/>
  <c r="H55"/>
  <c r="G55"/>
  <c r="E55"/>
  <c r="D55"/>
  <c r="H54"/>
  <c r="G54"/>
  <c r="E54"/>
  <c r="D54"/>
  <c r="H53"/>
  <c r="G53"/>
  <c r="E53"/>
  <c r="D53"/>
  <c r="H52"/>
  <c r="E52"/>
  <c r="D52"/>
  <c r="H51"/>
  <c r="G51"/>
  <c r="E51"/>
  <c r="D51"/>
  <c r="H50"/>
  <c r="G50"/>
  <c r="E50"/>
  <c r="D50"/>
  <c r="J47"/>
  <c r="S47" s="1"/>
  <c r="I47"/>
  <c r="H47"/>
  <c r="G47"/>
  <c r="F47"/>
  <c r="E47"/>
  <c r="D47"/>
  <c r="J46"/>
  <c r="S46" s="1"/>
  <c r="I46"/>
  <c r="H46"/>
  <c r="G46"/>
  <c r="F46"/>
  <c r="E46"/>
  <c r="D46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D39"/>
  <c r="H38"/>
  <c r="G38"/>
  <c r="F38"/>
  <c r="E38"/>
  <c r="D38"/>
  <c r="H37"/>
  <c r="G37"/>
  <c r="F37"/>
  <c r="H36"/>
  <c r="G36"/>
  <c r="F36"/>
  <c r="D36"/>
  <c r="H35"/>
  <c r="G35"/>
  <c r="F35"/>
  <c r="E35"/>
  <c r="D35"/>
  <c r="I32"/>
  <c r="H32"/>
  <c r="G32"/>
  <c r="F32"/>
  <c r="E32"/>
  <c r="D32"/>
  <c r="J31"/>
  <c r="S31" s="1"/>
  <c r="I31"/>
  <c r="H31"/>
  <c r="G31"/>
  <c r="F31"/>
  <c r="E31"/>
  <c r="D31"/>
  <c r="I30"/>
  <c r="H30"/>
  <c r="G30"/>
  <c r="F30"/>
  <c r="E30"/>
  <c r="D30"/>
  <c r="D20"/>
  <c r="E20"/>
  <c r="G20"/>
  <c r="H20"/>
  <c r="D21"/>
  <c r="E21"/>
  <c r="G21"/>
  <c r="H21"/>
  <c r="D22"/>
  <c r="E22"/>
  <c r="G22"/>
  <c r="H22"/>
  <c r="D23"/>
  <c r="E23"/>
  <c r="G23"/>
  <c r="H23"/>
  <c r="D24"/>
  <c r="E24"/>
  <c r="G24"/>
  <c r="H24"/>
  <c r="D25"/>
  <c r="G25"/>
  <c r="H25"/>
  <c r="D26"/>
  <c r="E26"/>
  <c r="G26"/>
  <c r="H26"/>
  <c r="E19"/>
  <c r="H19"/>
  <c r="D19"/>
  <c r="S49"/>
  <c r="D29" i="30"/>
  <c r="D62" i="26"/>
  <c r="D66" s="1"/>
  <c r="D29" i="31" l="1"/>
  <c r="D45"/>
  <c r="H29"/>
  <c r="E29"/>
  <c r="K65" l="1"/>
  <c r="K64"/>
  <c r="K47"/>
  <c r="K46"/>
  <c r="K31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H62"/>
  <c r="H66" s="1"/>
  <c r="H74" s="1"/>
  <c r="E62"/>
  <c r="E66" s="1"/>
  <c r="E74" s="1"/>
  <c r="D62"/>
  <c r="D66" s="1"/>
  <c r="D74" s="1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7"/>
  <c r="L37"/>
  <c r="M36"/>
  <c r="H45"/>
  <c r="H48" s="1"/>
  <c r="H73" s="1"/>
  <c r="G45"/>
  <c r="G48" s="1"/>
  <c r="G73" s="1"/>
  <c r="F45"/>
  <c r="F48" s="1"/>
  <c r="F73" s="1"/>
  <c r="E45"/>
  <c r="E48" s="1"/>
  <c r="E73" s="1"/>
  <c r="O35"/>
  <c r="O33"/>
  <c r="M33"/>
  <c r="L33"/>
  <c r="M31"/>
  <c r="L31"/>
  <c r="M30"/>
  <c r="L30"/>
  <c r="M29"/>
  <c r="L29"/>
  <c r="K28"/>
  <c r="J28"/>
  <c r="S28" s="1"/>
  <c r="I28"/>
  <c r="H28"/>
  <c r="G28"/>
  <c r="F28"/>
  <c r="E28"/>
  <c r="D28"/>
  <c r="K27"/>
  <c r="J27"/>
  <c r="S27" s="1"/>
  <c r="I27"/>
  <c r="H27"/>
  <c r="G27"/>
  <c r="F27"/>
  <c r="E27"/>
  <c r="D27"/>
  <c r="E33"/>
  <c r="H33"/>
  <c r="D33"/>
  <c r="D15"/>
  <c r="D14"/>
  <c r="L75" i="30"/>
  <c r="H62"/>
  <c r="H66" s="1"/>
  <c r="H74" s="1"/>
  <c r="E62"/>
  <c r="E66" s="1"/>
  <c r="E74" s="1"/>
  <c r="D62"/>
  <c r="D66" s="1"/>
  <c r="F61"/>
  <c r="F60"/>
  <c r="I60" s="1"/>
  <c r="J60" s="1"/>
  <c r="K60" s="1"/>
  <c r="F59"/>
  <c r="I59" s="1"/>
  <c r="J59" s="1"/>
  <c r="K59" s="1"/>
  <c r="F55"/>
  <c r="F52"/>
  <c r="S48"/>
  <c r="D48"/>
  <c r="D73" s="1"/>
  <c r="H45"/>
  <c r="H48" s="1"/>
  <c r="H73" s="1"/>
  <c r="G45"/>
  <c r="G48" s="1"/>
  <c r="G73" s="1"/>
  <c r="F45"/>
  <c r="F48" s="1"/>
  <c r="F73" s="1"/>
  <c r="E45"/>
  <c r="E48" s="1"/>
  <c r="E73" s="1"/>
  <c r="D45"/>
  <c r="I39"/>
  <c r="J39" s="1"/>
  <c r="K39" s="1"/>
  <c r="I37"/>
  <c r="J37" s="1"/>
  <c r="K37" s="1"/>
  <c r="I36"/>
  <c r="K32"/>
  <c r="H29"/>
  <c r="H33" s="1"/>
  <c r="G29"/>
  <c r="G33" s="1"/>
  <c r="G72" s="1"/>
  <c r="E29"/>
  <c r="E33" s="1"/>
  <c r="D33"/>
  <c r="I28"/>
  <c r="K27"/>
  <c r="I27"/>
  <c r="K26"/>
  <c r="I26"/>
  <c r="F25"/>
  <c r="I25" s="1"/>
  <c r="J25" s="1"/>
  <c r="K25" s="1"/>
  <c r="F24"/>
  <c r="I24" s="1"/>
  <c r="J24" s="1"/>
  <c r="K24" s="1"/>
  <c r="F23"/>
  <c r="I23" s="1"/>
  <c r="J23" s="1"/>
  <c r="K23" s="1"/>
  <c r="F22"/>
  <c r="I22" s="1"/>
  <c r="J22" s="1"/>
  <c r="K22" s="1"/>
  <c r="F21"/>
  <c r="I21" s="1"/>
  <c r="J21" s="1"/>
  <c r="K21" s="1"/>
  <c r="F20"/>
  <c r="H62" i="26"/>
  <c r="H66" s="1"/>
  <c r="H74" s="1"/>
  <c r="E62"/>
  <c r="D74"/>
  <c r="K61"/>
  <c r="F60"/>
  <c r="F59"/>
  <c r="F58"/>
  <c r="F57"/>
  <c r="F56"/>
  <c r="F55"/>
  <c r="F54"/>
  <c r="F53"/>
  <c r="F52"/>
  <c r="G52" s="1"/>
  <c r="G52" i="31" s="1"/>
  <c r="F51" i="26"/>
  <c r="F50"/>
  <c r="I50" s="1"/>
  <c r="I50" i="31" s="1"/>
  <c r="H45" i="26"/>
  <c r="H48" s="1"/>
  <c r="H73" s="1"/>
  <c r="G45"/>
  <c r="G48" s="1"/>
  <c r="G73" s="1"/>
  <c r="F45"/>
  <c r="F48" s="1"/>
  <c r="F73" s="1"/>
  <c r="E45"/>
  <c r="E48" s="1"/>
  <c r="E73" s="1"/>
  <c r="D45"/>
  <c r="I44"/>
  <c r="I44" i="31" s="1"/>
  <c r="I43" i="26"/>
  <c r="I42"/>
  <c r="I42" i="31" s="1"/>
  <c r="I41" i="26"/>
  <c r="I40"/>
  <c r="I40" i="31" s="1"/>
  <c r="I39" i="26"/>
  <c r="I38"/>
  <c r="I38" i="31" s="1"/>
  <c r="I37" i="26"/>
  <c r="I36"/>
  <c r="I35"/>
  <c r="J32" i="31"/>
  <c r="S32" s="1"/>
  <c r="M31" i="26"/>
  <c r="H29"/>
  <c r="H33" s="1"/>
  <c r="E29"/>
  <c r="E33" s="1"/>
  <c r="E72" s="1"/>
  <c r="D33"/>
  <c r="I27"/>
  <c r="J27" s="1"/>
  <c r="K27" s="1"/>
  <c r="F26"/>
  <c r="F25"/>
  <c r="F24"/>
  <c r="F23"/>
  <c r="F22"/>
  <c r="F21"/>
  <c r="F19"/>
  <c r="F19" i="31" s="1"/>
  <c r="I36" l="1"/>
  <c r="J40" i="26"/>
  <c r="F60" i="31"/>
  <c r="I60" i="26"/>
  <c r="J60" s="1"/>
  <c r="F21" i="31"/>
  <c r="F22"/>
  <c r="F24"/>
  <c r="F26"/>
  <c r="J35" i="26"/>
  <c r="I35" i="31"/>
  <c r="F51"/>
  <c r="I57" i="26"/>
  <c r="F57" i="31"/>
  <c r="I22" i="26"/>
  <c r="I22" i="31" s="1"/>
  <c r="I26" i="26"/>
  <c r="I26" i="31" s="1"/>
  <c r="J38" i="26"/>
  <c r="I54"/>
  <c r="F54" i="31"/>
  <c r="I58" i="26"/>
  <c r="F58" i="31"/>
  <c r="F20"/>
  <c r="G19" i="26"/>
  <c r="G29" s="1"/>
  <c r="G33" s="1"/>
  <c r="F23" i="31"/>
  <c r="F25"/>
  <c r="J36" i="26"/>
  <c r="I23"/>
  <c r="I23" i="31" s="1"/>
  <c r="I25" i="26"/>
  <c r="I25" i="31" s="1"/>
  <c r="J37" i="26"/>
  <c r="I37" i="31"/>
  <c r="J42" i="26"/>
  <c r="D48"/>
  <c r="D73" s="1"/>
  <c r="I56"/>
  <c r="F56" i="31"/>
  <c r="E66" i="26"/>
  <c r="E74" s="1"/>
  <c r="E75" s="1"/>
  <c r="F62" i="30"/>
  <c r="F66" s="1"/>
  <c r="F74" s="1"/>
  <c r="G61"/>
  <c r="I61" s="1"/>
  <c r="F61" i="31"/>
  <c r="J43" i="26"/>
  <c r="I43" i="31"/>
  <c r="I53" i="26"/>
  <c r="F53" i="31"/>
  <c r="I24" i="26"/>
  <c r="I24" i="31" s="1"/>
  <c r="J41" i="26"/>
  <c r="I41" i="31"/>
  <c r="I51" i="26"/>
  <c r="I51" i="31" s="1"/>
  <c r="J39" i="26"/>
  <c r="I39" i="31"/>
  <c r="J44" i="26"/>
  <c r="J50"/>
  <c r="F50" i="31"/>
  <c r="I52" i="26"/>
  <c r="F52" i="31"/>
  <c r="I55" i="26"/>
  <c r="F55" i="31"/>
  <c r="F59"/>
  <c r="I20" i="30"/>
  <c r="J20" s="1"/>
  <c r="K32" i="31"/>
  <c r="N37"/>
  <c r="I21" i="26"/>
  <c r="F29"/>
  <c r="F33" s="1"/>
  <c r="F72" s="1"/>
  <c r="I45" i="30"/>
  <c r="I48" s="1"/>
  <c r="I73" s="1"/>
  <c r="I29"/>
  <c r="I33" s="1"/>
  <c r="I72" s="1"/>
  <c r="I52"/>
  <c r="J52" s="1"/>
  <c r="F29"/>
  <c r="F33" s="1"/>
  <c r="F72" s="1"/>
  <c r="D72" i="31"/>
  <c r="E67"/>
  <c r="E72"/>
  <c r="E75" s="1"/>
  <c r="H72"/>
  <c r="H75" s="1"/>
  <c r="H67"/>
  <c r="D48"/>
  <c r="D73" s="1"/>
  <c r="H72" i="30"/>
  <c r="H75" s="1"/>
  <c r="H67"/>
  <c r="D72"/>
  <c r="D75" s="1"/>
  <c r="D67"/>
  <c r="K14" s="1"/>
  <c r="E67"/>
  <c r="E72"/>
  <c r="E75" s="1"/>
  <c r="I55"/>
  <c r="J36"/>
  <c r="K36" s="1"/>
  <c r="H67" i="26"/>
  <c r="H72"/>
  <c r="H75" s="1"/>
  <c r="D72"/>
  <c r="F62"/>
  <c r="F66" s="1"/>
  <c r="F74" s="1"/>
  <c r="I45"/>
  <c r="I48" s="1"/>
  <c r="I73" s="1"/>
  <c r="G59"/>
  <c r="G62" s="1"/>
  <c r="G66" s="1"/>
  <c r="G74" s="1"/>
  <c r="E63" i="27"/>
  <c r="E67" s="1"/>
  <c r="E75" s="1"/>
  <c r="D63"/>
  <c r="D67" s="1"/>
  <c r="D75" s="1"/>
  <c r="I62"/>
  <c r="J62" s="1"/>
  <c r="K62" s="1"/>
  <c r="F61"/>
  <c r="F60"/>
  <c r="F59"/>
  <c r="F58"/>
  <c r="F57"/>
  <c r="F56"/>
  <c r="F55"/>
  <c r="F54"/>
  <c r="F53"/>
  <c r="F52"/>
  <c r="F51"/>
  <c r="H51" s="1"/>
  <c r="H46"/>
  <c r="H49" s="1"/>
  <c r="H74" s="1"/>
  <c r="G46"/>
  <c r="G49" s="1"/>
  <c r="G74" s="1"/>
  <c r="F46"/>
  <c r="F49" s="1"/>
  <c r="F74" s="1"/>
  <c r="E46"/>
  <c r="E49" s="1"/>
  <c r="E74" s="1"/>
  <c r="D46"/>
  <c r="D49" s="1"/>
  <c r="D74" s="1"/>
  <c r="J45"/>
  <c r="K45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8"/>
  <c r="J38" s="1"/>
  <c r="K38" s="1"/>
  <c r="I37"/>
  <c r="J37" s="1"/>
  <c r="I36"/>
  <c r="H29"/>
  <c r="H34" s="1"/>
  <c r="H73" s="1"/>
  <c r="E29"/>
  <c r="E34" s="1"/>
  <c r="D29"/>
  <c r="D34" s="1"/>
  <c r="D73" s="1"/>
  <c r="F28"/>
  <c r="I28" s="1"/>
  <c r="J28" s="1"/>
  <c r="K28" s="1"/>
  <c r="F27"/>
  <c r="I27" s="1"/>
  <c r="J27" s="1"/>
  <c r="K27" s="1"/>
  <c r="F26"/>
  <c r="I26" s="1"/>
  <c r="J26" s="1"/>
  <c r="F25"/>
  <c r="F24"/>
  <c r="I24" s="1"/>
  <c r="J24" s="1"/>
  <c r="K24" s="1"/>
  <c r="F23"/>
  <c r="I23" s="1"/>
  <c r="J23" s="1"/>
  <c r="K23" s="1"/>
  <c r="F22"/>
  <c r="I22" s="1"/>
  <c r="J22" s="1"/>
  <c r="F21"/>
  <c r="I21" s="1"/>
  <c r="J21" s="1"/>
  <c r="F20"/>
  <c r="F19"/>
  <c r="G19" s="1"/>
  <c r="G29" s="1"/>
  <c r="G34" s="1"/>
  <c r="J40" i="31" l="1"/>
  <c r="S40" s="1"/>
  <c r="K40"/>
  <c r="AD36" i="26"/>
  <c r="J20" i="31"/>
  <c r="S20" s="1"/>
  <c r="K20" i="30"/>
  <c r="K29" s="1"/>
  <c r="J23" i="26"/>
  <c r="I60" i="31"/>
  <c r="F29"/>
  <c r="F33" s="1"/>
  <c r="F72" s="1"/>
  <c r="J55" i="26"/>
  <c r="I55" i="31"/>
  <c r="J56" i="26"/>
  <c r="I56" i="31"/>
  <c r="J36"/>
  <c r="S36" s="1"/>
  <c r="K36"/>
  <c r="L36" s="1"/>
  <c r="J38"/>
  <c r="S38" s="1"/>
  <c r="K38"/>
  <c r="J60"/>
  <c r="S60" s="1"/>
  <c r="K60"/>
  <c r="J37"/>
  <c r="S37" s="1"/>
  <c r="K37"/>
  <c r="J58" i="26"/>
  <c r="I58" i="31"/>
  <c r="D67" i="26"/>
  <c r="K14" s="1"/>
  <c r="J21"/>
  <c r="I21" i="31"/>
  <c r="F62"/>
  <c r="F66" s="1"/>
  <c r="F74" s="1"/>
  <c r="J39"/>
  <c r="S39" s="1"/>
  <c r="K39"/>
  <c r="J53" i="26"/>
  <c r="I53" i="31"/>
  <c r="G62" i="30"/>
  <c r="G66" s="1"/>
  <c r="G61" i="31"/>
  <c r="J42"/>
  <c r="S42" s="1"/>
  <c r="K42"/>
  <c r="J54" i="26"/>
  <c r="I54" i="31"/>
  <c r="J51" i="26"/>
  <c r="J26"/>
  <c r="J22"/>
  <c r="I59"/>
  <c r="I59" i="31" s="1"/>
  <c r="G59"/>
  <c r="J50"/>
  <c r="J41"/>
  <c r="S41" s="1"/>
  <c r="K41"/>
  <c r="K23"/>
  <c r="I45"/>
  <c r="I48" s="1"/>
  <c r="I73" s="1"/>
  <c r="J45" i="26"/>
  <c r="J48" s="1"/>
  <c r="J73" s="1"/>
  <c r="I20" i="31"/>
  <c r="K44" i="26"/>
  <c r="K44" i="31" s="1"/>
  <c r="J44"/>
  <c r="S44" s="1"/>
  <c r="J43"/>
  <c r="S43" s="1"/>
  <c r="K43"/>
  <c r="I19" i="26"/>
  <c r="G19" i="31"/>
  <c r="G29" s="1"/>
  <c r="G33" s="1"/>
  <c r="J57" i="26"/>
  <c r="I57" i="31"/>
  <c r="J35"/>
  <c r="J24" i="26"/>
  <c r="E67"/>
  <c r="D75"/>
  <c r="J19"/>
  <c r="I62"/>
  <c r="I66" s="1"/>
  <c r="I74" s="1"/>
  <c r="J61" i="30"/>
  <c r="K61" s="1"/>
  <c r="I61" i="31"/>
  <c r="F75" i="30"/>
  <c r="J52" i="26"/>
  <c r="I52" i="31"/>
  <c r="J25" i="26"/>
  <c r="K25" s="1"/>
  <c r="D67" i="31"/>
  <c r="K14" s="1"/>
  <c r="J29" i="30"/>
  <c r="F67"/>
  <c r="D75" i="31"/>
  <c r="J45" i="30"/>
  <c r="K45"/>
  <c r="K48" s="1"/>
  <c r="W48" s="1"/>
  <c r="X48" s="1"/>
  <c r="I62"/>
  <c r="I66" s="1"/>
  <c r="J55"/>
  <c r="K55" s="1"/>
  <c r="G72" i="26"/>
  <c r="G75" s="1"/>
  <c r="G67"/>
  <c r="F67"/>
  <c r="F75"/>
  <c r="I20" i="27"/>
  <c r="J20" s="1"/>
  <c r="I25"/>
  <c r="J25" s="1"/>
  <c r="K25" s="1"/>
  <c r="D68"/>
  <c r="K14" s="1"/>
  <c r="I46"/>
  <c r="I49" s="1"/>
  <c r="I74" s="1"/>
  <c r="J36"/>
  <c r="J46" s="1"/>
  <c r="F29"/>
  <c r="F34" s="1"/>
  <c r="F73" s="1"/>
  <c r="D76"/>
  <c r="E73"/>
  <c r="E76" s="1"/>
  <c r="E68"/>
  <c r="I54"/>
  <c r="J54" s="1"/>
  <c r="K54" s="1"/>
  <c r="I58"/>
  <c r="J58" s="1"/>
  <c r="K58" s="1"/>
  <c r="I51"/>
  <c r="J51" s="1"/>
  <c r="I55"/>
  <c r="J55" s="1"/>
  <c r="K55" s="1"/>
  <c r="I59"/>
  <c r="J59" s="1"/>
  <c r="K59" s="1"/>
  <c r="H63"/>
  <c r="H67" s="1"/>
  <c r="G73"/>
  <c r="F63"/>
  <c r="F67" s="1"/>
  <c r="F75" s="1"/>
  <c r="I52"/>
  <c r="J52" s="1"/>
  <c r="I56"/>
  <c r="J56" s="1"/>
  <c r="K56" s="1"/>
  <c r="G60"/>
  <c r="G63" s="1"/>
  <c r="G67" s="1"/>
  <c r="G75" s="1"/>
  <c r="I19"/>
  <c r="I53"/>
  <c r="J53" s="1"/>
  <c r="K53" s="1"/>
  <c r="I57"/>
  <c r="J57" s="1"/>
  <c r="K57" s="1"/>
  <c r="I61"/>
  <c r="J61" s="1"/>
  <c r="K61" s="1"/>
  <c r="L81" i="11"/>
  <c r="L172"/>
  <c r="K163"/>
  <c r="K162"/>
  <c r="AU161"/>
  <c r="J161"/>
  <c r="J164" s="1"/>
  <c r="I161"/>
  <c r="I164" s="1"/>
  <c r="H161"/>
  <c r="H164" s="1"/>
  <c r="G161"/>
  <c r="G164" s="1"/>
  <c r="F161"/>
  <c r="F164" s="1"/>
  <c r="E161"/>
  <c r="E164" s="1"/>
  <c r="E172" s="1"/>
  <c r="D161"/>
  <c r="D164" s="1"/>
  <c r="N160"/>
  <c r="O160" s="1"/>
  <c r="L160"/>
  <c r="K160"/>
  <c r="N159"/>
  <c r="O159" s="1"/>
  <c r="L159"/>
  <c r="K159"/>
  <c r="N158"/>
  <c r="O158" s="1"/>
  <c r="L158"/>
  <c r="K158"/>
  <c r="O157"/>
  <c r="K157"/>
  <c r="L157" s="1"/>
  <c r="N156"/>
  <c r="O156" s="1"/>
  <c r="K156"/>
  <c r="N155"/>
  <c r="O155" s="1"/>
  <c r="L155"/>
  <c r="K155"/>
  <c r="N154"/>
  <c r="O154" s="1"/>
  <c r="L154"/>
  <c r="K154"/>
  <c r="N153"/>
  <c r="O153" s="1"/>
  <c r="L153"/>
  <c r="K153"/>
  <c r="N152"/>
  <c r="O152" s="1"/>
  <c r="K152"/>
  <c r="K151"/>
  <c r="N150"/>
  <c r="O150" s="1"/>
  <c r="L150"/>
  <c r="K150"/>
  <c r="N149"/>
  <c r="O149" s="1"/>
  <c r="K149"/>
  <c r="L149" s="1"/>
  <c r="N148"/>
  <c r="O148" s="1"/>
  <c r="L148"/>
  <c r="K148"/>
  <c r="I142"/>
  <c r="I146" s="1"/>
  <c r="H142"/>
  <c r="H146" s="1"/>
  <c r="G142"/>
  <c r="G146" s="1"/>
  <c r="F142"/>
  <c r="F146" s="1"/>
  <c r="E142"/>
  <c r="E146" s="1"/>
  <c r="D142"/>
  <c r="D146" s="1"/>
  <c r="K141"/>
  <c r="L140"/>
  <c r="K140"/>
  <c r="K139"/>
  <c r="J138"/>
  <c r="J137"/>
  <c r="K137" s="1"/>
  <c r="J136"/>
  <c r="L136" s="1"/>
  <c r="J135"/>
  <c r="X134"/>
  <c r="J134"/>
  <c r="L133"/>
  <c r="K133"/>
  <c r="J132"/>
  <c r="L132" s="1"/>
  <c r="J131"/>
  <c r="J130"/>
  <c r="L130" s="1"/>
  <c r="J129"/>
  <c r="J128"/>
  <c r="L128" s="1"/>
  <c r="J127"/>
  <c r="K127" s="1"/>
  <c r="J126"/>
  <c r="K126" s="1"/>
  <c r="K122"/>
  <c r="E120"/>
  <c r="E123" s="1"/>
  <c r="D120"/>
  <c r="D123" s="1"/>
  <c r="K119"/>
  <c r="K118"/>
  <c r="N117"/>
  <c r="O117" s="1"/>
  <c r="K117"/>
  <c r="J116"/>
  <c r="N116" s="1"/>
  <c r="F115"/>
  <c r="H115" s="1"/>
  <c r="H120" s="1"/>
  <c r="H123" s="1"/>
  <c r="K114"/>
  <c r="L114" s="1"/>
  <c r="J113"/>
  <c r="K113" s="1"/>
  <c r="L113" s="1"/>
  <c r="I112"/>
  <c r="J112" s="1"/>
  <c r="K112" s="1"/>
  <c r="I109"/>
  <c r="I111" s="1"/>
  <c r="H109"/>
  <c r="H111" s="1"/>
  <c r="G109"/>
  <c r="G111" s="1"/>
  <c r="F109"/>
  <c r="F111" s="1"/>
  <c r="E109"/>
  <c r="E111" s="1"/>
  <c r="D109"/>
  <c r="D111" s="1"/>
  <c r="K108"/>
  <c r="J107"/>
  <c r="K107" s="1"/>
  <c r="I104"/>
  <c r="I106" s="1"/>
  <c r="H104"/>
  <c r="H106" s="1"/>
  <c r="G104"/>
  <c r="G106" s="1"/>
  <c r="F104"/>
  <c r="F106" s="1"/>
  <c r="E104"/>
  <c r="E106" s="1"/>
  <c r="D104"/>
  <c r="D106" s="1"/>
  <c r="K103"/>
  <c r="J103"/>
  <c r="J102"/>
  <c r="K102" s="1"/>
  <c r="J101"/>
  <c r="K101" s="1"/>
  <c r="N91"/>
  <c r="O91" s="1"/>
  <c r="L91"/>
  <c r="N90"/>
  <c r="L90"/>
  <c r="O89"/>
  <c r="L89"/>
  <c r="N88"/>
  <c r="O88" s="1"/>
  <c r="AD76"/>
  <c r="AD75"/>
  <c r="L73"/>
  <c r="J71"/>
  <c r="K71" s="1"/>
  <c r="J70"/>
  <c r="K70" s="1"/>
  <c r="J69"/>
  <c r="K69" s="1"/>
  <c r="I68"/>
  <c r="X67"/>
  <c r="L66"/>
  <c r="I63"/>
  <c r="J63" s="1"/>
  <c r="K63" s="1"/>
  <c r="AU62"/>
  <c r="L61"/>
  <c r="J60"/>
  <c r="K60" s="1"/>
  <c r="L59"/>
  <c r="I58"/>
  <c r="J58" s="1"/>
  <c r="K58" s="1"/>
  <c r="I57"/>
  <c r="I56"/>
  <c r="I51"/>
  <c r="J51" s="1"/>
  <c r="K51" s="1"/>
  <c r="I50"/>
  <c r="I44"/>
  <c r="I47" s="1"/>
  <c r="H44"/>
  <c r="H47" s="1"/>
  <c r="G44"/>
  <c r="G47" s="1"/>
  <c r="F44"/>
  <c r="F47" s="1"/>
  <c r="E44"/>
  <c r="E47" s="1"/>
  <c r="D44"/>
  <c r="D47" s="1"/>
  <c r="J41"/>
  <c r="K41" s="1"/>
  <c r="AU40"/>
  <c r="AU39"/>
  <c r="J39"/>
  <c r="AU38"/>
  <c r="L38"/>
  <c r="AU37"/>
  <c r="J37"/>
  <c r="K37" s="1"/>
  <c r="L37" s="1"/>
  <c r="AU36"/>
  <c r="K36"/>
  <c r="L36" s="1"/>
  <c r="AU35"/>
  <c r="J35"/>
  <c r="K35" s="1"/>
  <c r="L35" s="1"/>
  <c r="AU34"/>
  <c r="AU44" s="1"/>
  <c r="J34"/>
  <c r="K34" s="1"/>
  <c r="L34" s="1"/>
  <c r="K32"/>
  <c r="H31"/>
  <c r="H33" s="1"/>
  <c r="G31"/>
  <c r="G33" s="1"/>
  <c r="F31"/>
  <c r="F33" s="1"/>
  <c r="E31"/>
  <c r="E33" s="1"/>
  <c r="D31"/>
  <c r="D33" s="1"/>
  <c r="I29"/>
  <c r="I31" s="1"/>
  <c r="I33" s="1"/>
  <c r="K28"/>
  <c r="K27"/>
  <c r="K26"/>
  <c r="H23"/>
  <c r="H25" s="1"/>
  <c r="E23"/>
  <c r="E25" s="1"/>
  <c r="D23"/>
  <c r="D25" s="1"/>
  <c r="I22"/>
  <c r="J22" s="1"/>
  <c r="K22" s="1"/>
  <c r="I21"/>
  <c r="J21" s="1"/>
  <c r="K21" s="1"/>
  <c r="F20"/>
  <c r="F19"/>
  <c r="G62" i="31" l="1"/>
  <c r="G66" s="1"/>
  <c r="G74" s="1"/>
  <c r="BW77" i="11"/>
  <c r="G115"/>
  <c r="G120" s="1"/>
  <c r="G123" s="1"/>
  <c r="J68"/>
  <c r="J56"/>
  <c r="K56" s="1"/>
  <c r="J57"/>
  <c r="K57" s="1"/>
  <c r="G20"/>
  <c r="BQ63"/>
  <c r="BR63" s="1"/>
  <c r="BS63" s="1"/>
  <c r="AH77"/>
  <c r="AH78" s="1"/>
  <c r="J50"/>
  <c r="K50" s="1"/>
  <c r="I75"/>
  <c r="K132"/>
  <c r="K136"/>
  <c r="K116"/>
  <c r="L116" s="1"/>
  <c r="F23"/>
  <c r="F25" s="1"/>
  <c r="F48" s="1"/>
  <c r="G19"/>
  <c r="F171"/>
  <c r="K109"/>
  <c r="H48"/>
  <c r="J29"/>
  <c r="L30" s="1"/>
  <c r="N38"/>
  <c r="O38" s="1"/>
  <c r="BL67"/>
  <c r="BN67" s="1"/>
  <c r="BM77"/>
  <c r="L62"/>
  <c r="L67"/>
  <c r="L57"/>
  <c r="J49" i="27"/>
  <c r="J74" s="1"/>
  <c r="J23" i="31"/>
  <c r="S23" s="1"/>
  <c r="AB21" i="26"/>
  <c r="J29"/>
  <c r="J30" s="1"/>
  <c r="K30" s="1"/>
  <c r="AE24"/>
  <c r="M29"/>
  <c r="I62" i="31"/>
  <c r="I66" s="1"/>
  <c r="I74" s="1"/>
  <c r="AD30" i="26"/>
  <c r="L58" i="11"/>
  <c r="L56"/>
  <c r="E171"/>
  <c r="D48"/>
  <c r="J44"/>
  <c r="D124"/>
  <c r="D165" s="1"/>
  <c r="J61" i="31"/>
  <c r="S61" s="1"/>
  <c r="K61"/>
  <c r="J51"/>
  <c r="S51" s="1"/>
  <c r="K51"/>
  <c r="J54"/>
  <c r="S54" s="1"/>
  <c r="K54"/>
  <c r="L29" i="27"/>
  <c r="J55" i="31"/>
  <c r="S55" s="1"/>
  <c r="K55"/>
  <c r="L65" i="11"/>
  <c r="E124"/>
  <c r="E165" s="1"/>
  <c r="J109"/>
  <c r="J110" s="1"/>
  <c r="K110" s="1"/>
  <c r="I115"/>
  <c r="J115" s="1"/>
  <c r="K115" s="1"/>
  <c r="L115" s="1"/>
  <c r="K128"/>
  <c r="K46" i="27"/>
  <c r="K49" s="1"/>
  <c r="K74" s="1"/>
  <c r="K50" i="31"/>
  <c r="L69" i="11"/>
  <c r="G124"/>
  <c r="G165" s="1"/>
  <c r="L137"/>
  <c r="D82" i="31"/>
  <c r="S35"/>
  <c r="J45"/>
  <c r="I19"/>
  <c r="I29" s="1"/>
  <c r="I33" s="1"/>
  <c r="I29" i="26"/>
  <c r="I33" s="1"/>
  <c r="S50" i="31"/>
  <c r="J26"/>
  <c r="S26" s="1"/>
  <c r="K26"/>
  <c r="G74" i="30"/>
  <c r="G75" s="1"/>
  <c r="G67"/>
  <c r="L70" i="11"/>
  <c r="K130"/>
  <c r="J25" i="31"/>
  <c r="S25" s="1"/>
  <c r="K25"/>
  <c r="J52"/>
  <c r="S52" s="1"/>
  <c r="K52"/>
  <c r="J24"/>
  <c r="S24" s="1"/>
  <c r="K24"/>
  <c r="W29" i="26"/>
  <c r="W30" s="1"/>
  <c r="W31" s="1"/>
  <c r="J57" i="31"/>
  <c r="S57" s="1"/>
  <c r="K57"/>
  <c r="K21"/>
  <c r="J21"/>
  <c r="S21" s="1"/>
  <c r="F75"/>
  <c r="K44" i="11"/>
  <c r="O90"/>
  <c r="J59" i="26"/>
  <c r="J48" i="30"/>
  <c r="K20" i="31"/>
  <c r="J19"/>
  <c r="S19" s="1"/>
  <c r="K35"/>
  <c r="K45" s="1"/>
  <c r="K48" s="1"/>
  <c r="K73" s="1"/>
  <c r="K45" i="26"/>
  <c r="K48" s="1"/>
  <c r="G72" i="31"/>
  <c r="G75" s="1"/>
  <c r="G67"/>
  <c r="J22"/>
  <c r="S22" s="1"/>
  <c r="K22"/>
  <c r="J53"/>
  <c r="S53" s="1"/>
  <c r="K53"/>
  <c r="J58"/>
  <c r="S58" s="1"/>
  <c r="K58"/>
  <c r="J56"/>
  <c r="S56" s="1"/>
  <c r="K56"/>
  <c r="F67"/>
  <c r="L63" i="11"/>
  <c r="BF57"/>
  <c r="R47" i="30"/>
  <c r="K73"/>
  <c r="I74"/>
  <c r="I75" s="1"/>
  <c r="I67"/>
  <c r="L32" i="27"/>
  <c r="F68"/>
  <c r="I60"/>
  <c r="I63" s="1"/>
  <c r="I67" s="1"/>
  <c r="I75" s="1"/>
  <c r="G76"/>
  <c r="G68"/>
  <c r="K51"/>
  <c r="J60"/>
  <c r="K60" s="1"/>
  <c r="H75"/>
  <c r="H76" s="1"/>
  <c r="H68"/>
  <c r="I29"/>
  <c r="I34" s="1"/>
  <c r="J19"/>
  <c r="X30" s="1"/>
  <c r="F76"/>
  <c r="L87" i="11"/>
  <c r="N87"/>
  <c r="O87" s="1"/>
  <c r="L71"/>
  <c r="AX76"/>
  <c r="G171"/>
  <c r="L131"/>
  <c r="K131"/>
  <c r="L135"/>
  <c r="K135"/>
  <c r="I19"/>
  <c r="N39"/>
  <c r="N41" s="1"/>
  <c r="D171"/>
  <c r="H171"/>
  <c r="D172"/>
  <c r="AD96"/>
  <c r="K104"/>
  <c r="H124"/>
  <c r="H165" s="1"/>
  <c r="N119"/>
  <c r="I120"/>
  <c r="I123" s="1"/>
  <c r="I124" s="1"/>
  <c r="I165" s="1"/>
  <c r="K129"/>
  <c r="M140"/>
  <c r="L129"/>
  <c r="E48"/>
  <c r="L60"/>
  <c r="BA75"/>
  <c r="BA78" s="1"/>
  <c r="AB77"/>
  <c r="F172"/>
  <c r="N81"/>
  <c r="O81" s="1"/>
  <c r="N92"/>
  <c r="O92" s="1"/>
  <c r="L92"/>
  <c r="L112"/>
  <c r="L134"/>
  <c r="K134"/>
  <c r="L138"/>
  <c r="K138"/>
  <c r="J111"/>
  <c r="K161"/>
  <c r="K164" s="1"/>
  <c r="AY63"/>
  <c r="AC63"/>
  <c r="AU74"/>
  <c r="J104"/>
  <c r="N161"/>
  <c r="AV161"/>
  <c r="BC75"/>
  <c r="BC78" s="1"/>
  <c r="O116"/>
  <c r="F120"/>
  <c r="F123" s="1"/>
  <c r="F124" s="1"/>
  <c r="F165" s="1"/>
  <c r="L126"/>
  <c r="L142" s="1"/>
  <c r="J142"/>
  <c r="M73" l="1"/>
  <c r="AU56"/>
  <c r="K68"/>
  <c r="L68"/>
  <c r="BF56"/>
  <c r="J45"/>
  <c r="BV77"/>
  <c r="AD77"/>
  <c r="AD78" s="1"/>
  <c r="AB78"/>
  <c r="I78"/>
  <c r="I171" s="1"/>
  <c r="J75"/>
  <c r="BX76" s="1"/>
  <c r="I20"/>
  <c r="G23"/>
  <c r="G25" s="1"/>
  <c r="G48" s="1"/>
  <c r="G170" s="1"/>
  <c r="AU50"/>
  <c r="BQ57"/>
  <c r="BF51"/>
  <c r="L50"/>
  <c r="L75" s="1"/>
  <c r="L78" s="1"/>
  <c r="K111"/>
  <c r="H170"/>
  <c r="AD48" i="26"/>
  <c r="AE48"/>
  <c r="AF48" s="1"/>
  <c r="Y48" i="30" s="1"/>
  <c r="O39" i="11"/>
  <c r="K47"/>
  <c r="J31"/>
  <c r="J33" s="1"/>
  <c r="K29"/>
  <c r="K31" s="1"/>
  <c r="K33" s="1"/>
  <c r="AM76"/>
  <c r="J73" i="30"/>
  <c r="X47"/>
  <c r="K19" i="31"/>
  <c r="J33" i="30"/>
  <c r="J72" s="1"/>
  <c r="K30"/>
  <c r="K33" s="1"/>
  <c r="K72" s="1"/>
  <c r="J62" i="26"/>
  <c r="K29" i="31"/>
  <c r="D170" i="11"/>
  <c r="D173" s="1"/>
  <c r="D179" s="1"/>
  <c r="K120"/>
  <c r="K29" i="26"/>
  <c r="AE29" s="1"/>
  <c r="J29" i="31"/>
  <c r="S29" s="1"/>
  <c r="S45"/>
  <c r="J48"/>
  <c r="U26" i="26"/>
  <c r="N47"/>
  <c r="K73"/>
  <c r="I67" i="31"/>
  <c r="I72"/>
  <c r="I75" s="1"/>
  <c r="AL75" i="11"/>
  <c r="BF68"/>
  <c r="BG68" s="1"/>
  <c r="J120"/>
  <c r="K142"/>
  <c r="AU142" s="1"/>
  <c r="J47"/>
  <c r="D98"/>
  <c r="D166" s="1"/>
  <c r="G172"/>
  <c r="J59" i="31"/>
  <c r="S59" s="1"/>
  <c r="K59"/>
  <c r="K62" s="1"/>
  <c r="I72" i="26"/>
  <c r="I75" s="1"/>
  <c r="I67"/>
  <c r="K62"/>
  <c r="BI77" i="11"/>
  <c r="J30" i="31"/>
  <c r="J33" i="26"/>
  <c r="K63" i="30"/>
  <c r="K62"/>
  <c r="Q62"/>
  <c r="J63" i="26"/>
  <c r="J29" i="27"/>
  <c r="I73"/>
  <c r="I76" s="1"/>
  <c r="I68"/>
  <c r="J63"/>
  <c r="K63"/>
  <c r="J121" i="11"/>
  <c r="K121" s="1"/>
  <c r="K123" s="1"/>
  <c r="I172"/>
  <c r="N85"/>
  <c r="O85" s="1"/>
  <c r="L85"/>
  <c r="J105"/>
  <c r="K105" s="1"/>
  <c r="K106" s="1"/>
  <c r="AT138"/>
  <c r="AU146"/>
  <c r="N84"/>
  <c r="O84" s="1"/>
  <c r="E170"/>
  <c r="E173" s="1"/>
  <c r="E98"/>
  <c r="E166" s="1"/>
  <c r="J19"/>
  <c r="J146"/>
  <c r="AU144"/>
  <c r="N86"/>
  <c r="O86" s="1"/>
  <c r="L86"/>
  <c r="F170"/>
  <c r="F173" s="1"/>
  <c r="F98"/>
  <c r="F166" s="1"/>
  <c r="J78" l="1"/>
  <c r="Y76"/>
  <c r="Y77" s="1"/>
  <c r="Y78" s="1"/>
  <c r="BK77"/>
  <c r="BK78" s="1"/>
  <c r="BI78"/>
  <c r="AL76"/>
  <c r="AL77" s="1"/>
  <c r="L171"/>
  <c r="L170"/>
  <c r="J106"/>
  <c r="I23"/>
  <c r="I25" s="1"/>
  <c r="I48" s="1"/>
  <c r="I98" s="1"/>
  <c r="I166" s="1"/>
  <c r="J20"/>
  <c r="BV76"/>
  <c r="K75"/>
  <c r="K78" s="1"/>
  <c r="AW77"/>
  <c r="AW78" s="1"/>
  <c r="D81" i="26"/>
  <c r="BR57" i="11"/>
  <c r="BS57" s="1"/>
  <c r="BT57" s="1"/>
  <c r="BQ67"/>
  <c r="J171"/>
  <c r="BG75"/>
  <c r="BG78" s="1"/>
  <c r="AX77"/>
  <c r="AX78" s="1"/>
  <c r="AZ75"/>
  <c r="AZ78" s="1"/>
  <c r="BL75"/>
  <c r="AD68"/>
  <c r="AE75" s="1"/>
  <c r="AE78" s="1"/>
  <c r="AY75"/>
  <c r="K146"/>
  <c r="G173"/>
  <c r="J12"/>
  <c r="W64" i="30"/>
  <c r="J62" i="31"/>
  <c r="S62" s="1"/>
  <c r="AB64" i="26"/>
  <c r="AC64" s="1"/>
  <c r="J66"/>
  <c r="K33"/>
  <c r="K30" i="27"/>
  <c r="S48" i="31"/>
  <c r="J73"/>
  <c r="N82" i="11"/>
  <c r="O82" s="1"/>
  <c r="K66" i="26"/>
  <c r="AE66" s="1"/>
  <c r="J63" i="31"/>
  <c r="S63" s="1"/>
  <c r="K63"/>
  <c r="K66" s="1"/>
  <c r="K74" s="1"/>
  <c r="K30"/>
  <c r="K33" s="1"/>
  <c r="K72" s="1"/>
  <c r="J66" i="30"/>
  <c r="G98" i="11"/>
  <c r="G166" s="1"/>
  <c r="L82"/>
  <c r="K66" i="30"/>
  <c r="K74" s="1"/>
  <c r="K75" s="1"/>
  <c r="S30" i="31"/>
  <c r="N30"/>
  <c r="J33"/>
  <c r="J72" s="1"/>
  <c r="Q66" i="30"/>
  <c r="J72" i="26"/>
  <c r="N29" i="27"/>
  <c r="K29"/>
  <c r="K34" s="1"/>
  <c r="J64"/>
  <c r="K23" i="11"/>
  <c r="J23"/>
  <c r="K124"/>
  <c r="H172"/>
  <c r="H173" s="1"/>
  <c r="H98"/>
  <c r="H166" s="1"/>
  <c r="N80"/>
  <c r="O80" s="1"/>
  <c r="AU95"/>
  <c r="L80"/>
  <c r="J123"/>
  <c r="J124" s="1"/>
  <c r="J165" s="1"/>
  <c r="BW76" l="1"/>
  <c r="AL78"/>
  <c r="AY76"/>
  <c r="AY78" s="1"/>
  <c r="BM68"/>
  <c r="BL78"/>
  <c r="I170"/>
  <c r="I173" s="1"/>
  <c r="Z77"/>
  <c r="BM75"/>
  <c r="BM78" s="1"/>
  <c r="AL68"/>
  <c r="AM75" s="1"/>
  <c r="K171"/>
  <c r="AT80"/>
  <c r="AT82" s="1"/>
  <c r="K165"/>
  <c r="J74" i="26"/>
  <c r="J75" s="1"/>
  <c r="W66" i="30"/>
  <c r="J66" i="31"/>
  <c r="J74" s="1"/>
  <c r="J75" s="1"/>
  <c r="K72" i="26"/>
  <c r="AD33"/>
  <c r="R67"/>
  <c r="AD66"/>
  <c r="T33"/>
  <c r="K74"/>
  <c r="K75" i="31"/>
  <c r="K67" i="26"/>
  <c r="K67" i="30"/>
  <c r="K67" i="31"/>
  <c r="Q66" i="26"/>
  <c r="J34" i="27"/>
  <c r="J73" s="1"/>
  <c r="K67"/>
  <c r="K75" s="1"/>
  <c r="N94" i="11"/>
  <c r="K25"/>
  <c r="K48" s="1"/>
  <c r="S33" i="31"/>
  <c r="J74" i="30"/>
  <c r="J75" s="1"/>
  <c r="J67"/>
  <c r="J67" i="26"/>
  <c r="J13" s="1"/>
  <c r="J67" i="27"/>
  <c r="J75" s="1"/>
  <c r="K73"/>
  <c r="AM77" i="11" l="1"/>
  <c r="AM78" s="1"/>
  <c r="AA77"/>
  <c r="AA78" s="1"/>
  <c r="Z78"/>
  <c r="K170"/>
  <c r="BO170" s="1"/>
  <c r="BQ48"/>
  <c r="J25"/>
  <c r="J48" s="1"/>
  <c r="K76" i="27"/>
  <c r="J76"/>
  <c r="J67" i="31"/>
  <c r="S67" s="1"/>
  <c r="S66"/>
  <c r="K75" i="26"/>
  <c r="K83" i="31" s="1"/>
  <c r="K86" s="1"/>
  <c r="K68" i="27"/>
  <c r="J13" i="30"/>
  <c r="U67"/>
  <c r="J68" i="27"/>
  <c r="J13" s="1"/>
  <c r="K172" i="11"/>
  <c r="AI97"/>
  <c r="K98"/>
  <c r="K166" l="1"/>
  <c r="J170"/>
  <c r="K173"/>
  <c r="K179" s="1"/>
  <c r="BP180" s="1"/>
  <c r="J13" i="31"/>
  <c r="AD97" i="11"/>
  <c r="J172"/>
  <c r="AE96"/>
  <c r="J98" l="1"/>
  <c r="J166" s="1"/>
  <c r="AB166" s="1"/>
  <c r="J173"/>
  <c r="J179" s="1"/>
  <c r="R32" i="28" l="1"/>
  <c r="E4" i="37" l="1"/>
  <c r="C4"/>
  <c r="F4"/>
  <c r="H4" s="1"/>
  <c r="K104" i="14" l="1"/>
  <c r="E32"/>
  <c r="F32"/>
  <c r="H32"/>
  <c r="D32"/>
  <c r="L29" l="1"/>
  <c r="L34" i="29" l="1"/>
  <c r="L49"/>
  <c r="I65"/>
  <c r="H65"/>
  <c r="G65"/>
  <c r="F65"/>
  <c r="E65"/>
  <c r="D65"/>
  <c r="I64"/>
  <c r="H64"/>
  <c r="G64"/>
  <c r="F64"/>
  <c r="E64"/>
  <c r="D64"/>
  <c r="I63"/>
  <c r="H63"/>
  <c r="G63"/>
  <c r="F63"/>
  <c r="E63"/>
  <c r="D63"/>
  <c r="K32" i="28" l="1"/>
  <c r="K65" i="29"/>
  <c r="J65"/>
  <c r="L65" s="1"/>
  <c r="D61"/>
  <c r="E61"/>
  <c r="F61"/>
  <c r="G61"/>
  <c r="H61"/>
  <c r="H60"/>
  <c r="G60"/>
  <c r="E60"/>
  <c r="D60"/>
  <c r="H59"/>
  <c r="E59"/>
  <c r="D59"/>
  <c r="H58"/>
  <c r="G58"/>
  <c r="E58"/>
  <c r="D58"/>
  <c r="H57"/>
  <c r="G57"/>
  <c r="E57"/>
  <c r="D57"/>
  <c r="H56"/>
  <c r="G56"/>
  <c r="E56"/>
  <c r="D56"/>
  <c r="H55"/>
  <c r="G55"/>
  <c r="E55"/>
  <c r="D55"/>
  <c r="H54"/>
  <c r="G54"/>
  <c r="E54"/>
  <c r="D54"/>
  <c r="H53"/>
  <c r="G53"/>
  <c r="E53"/>
  <c r="D53"/>
  <c r="H52"/>
  <c r="G52"/>
  <c r="E52"/>
  <c r="D52"/>
  <c r="H51"/>
  <c r="G51"/>
  <c r="E51"/>
  <c r="D51"/>
  <c r="G50"/>
  <c r="E50"/>
  <c r="D50"/>
  <c r="K47"/>
  <c r="J47"/>
  <c r="L47" s="1"/>
  <c r="K46"/>
  <c r="J46"/>
  <c r="L46" s="1"/>
  <c r="I44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J32"/>
  <c r="L32" s="1"/>
  <c r="J31"/>
  <c r="L31" s="1"/>
  <c r="D20"/>
  <c r="E20"/>
  <c r="G20"/>
  <c r="H20"/>
  <c r="D21"/>
  <c r="E21"/>
  <c r="G21"/>
  <c r="H21"/>
  <c r="D22"/>
  <c r="E22"/>
  <c r="G22"/>
  <c r="H22"/>
  <c r="D23"/>
  <c r="E23"/>
  <c r="G23"/>
  <c r="H23"/>
  <c r="D24"/>
  <c r="E24"/>
  <c r="G24"/>
  <c r="H24"/>
  <c r="D25"/>
  <c r="E25"/>
  <c r="G25"/>
  <c r="H25"/>
  <c r="D26"/>
  <c r="E26"/>
  <c r="G26"/>
  <c r="H26"/>
  <c r="D27"/>
  <c r="E27"/>
  <c r="G27"/>
  <c r="H27"/>
  <c r="D28"/>
  <c r="E28"/>
  <c r="G28"/>
  <c r="H28"/>
  <c r="E19"/>
  <c r="H19"/>
  <c r="D19"/>
  <c r="K64"/>
  <c r="K31"/>
  <c r="J64" l="1"/>
  <c r="L64" s="1"/>
  <c r="Q22"/>
  <c r="D35"/>
  <c r="K34" i="14"/>
  <c r="E35"/>
  <c r="F35"/>
  <c r="I27"/>
  <c r="H116"/>
  <c r="E114"/>
  <c r="E116" s="1"/>
  <c r="D114"/>
  <c r="D116" s="1"/>
  <c r="L113"/>
  <c r="F113"/>
  <c r="F114" s="1"/>
  <c r="F116" s="1"/>
  <c r="K103"/>
  <c r="H102"/>
  <c r="H105" s="1"/>
  <c r="G102"/>
  <c r="G105" s="1"/>
  <c r="E102"/>
  <c r="E105" s="1"/>
  <c r="D102"/>
  <c r="D105" s="1"/>
  <c r="K101"/>
  <c r="K100"/>
  <c r="K99"/>
  <c r="K98"/>
  <c r="K97"/>
  <c r="K96"/>
  <c r="K95"/>
  <c r="K94"/>
  <c r="K93"/>
  <c r="L92"/>
  <c r="K92"/>
  <c r="L91"/>
  <c r="K91"/>
  <c r="L90"/>
  <c r="K90"/>
  <c r="L89"/>
  <c r="K89"/>
  <c r="K88"/>
  <c r="L88" s="1"/>
  <c r="K87"/>
  <c r="L86"/>
  <c r="K86"/>
  <c r="L85"/>
  <c r="K85"/>
  <c r="L84"/>
  <c r="K84"/>
  <c r="K83"/>
  <c r="K82"/>
  <c r="K81"/>
  <c r="F80"/>
  <c r="F102" s="1"/>
  <c r="F105" s="1"/>
  <c r="K79"/>
  <c r="L79" s="1"/>
  <c r="L78"/>
  <c r="K78"/>
  <c r="K75"/>
  <c r="K74"/>
  <c r="K73"/>
  <c r="J73"/>
  <c r="J76" s="1"/>
  <c r="I73"/>
  <c r="I76" s="1"/>
  <c r="H73"/>
  <c r="H76" s="1"/>
  <c r="G73"/>
  <c r="G76" s="1"/>
  <c r="F73"/>
  <c r="F76" s="1"/>
  <c r="E73"/>
  <c r="E76" s="1"/>
  <c r="D73"/>
  <c r="D76" s="1"/>
  <c r="L70"/>
  <c r="L68"/>
  <c r="L67"/>
  <c r="L66"/>
  <c r="L65"/>
  <c r="L64"/>
  <c r="L63"/>
  <c r="L62"/>
  <c r="L61"/>
  <c r="L60"/>
  <c r="L59"/>
  <c r="L58"/>
  <c r="L57"/>
  <c r="L56"/>
  <c r="L55"/>
  <c r="L52"/>
  <c r="K48"/>
  <c r="H46"/>
  <c r="H49" s="1"/>
  <c r="G46"/>
  <c r="G49" s="1"/>
  <c r="F46"/>
  <c r="F49" s="1"/>
  <c r="E46"/>
  <c r="E49" s="1"/>
  <c r="D46"/>
  <c r="D49" s="1"/>
  <c r="K45"/>
  <c r="K44"/>
  <c r="K43"/>
  <c r="K42"/>
  <c r="I41"/>
  <c r="I46" s="1"/>
  <c r="I49" s="1"/>
  <c r="J40"/>
  <c r="K40" s="1"/>
  <c r="L40" s="1"/>
  <c r="J39"/>
  <c r="K39" s="1"/>
  <c r="L39" s="1"/>
  <c r="J38"/>
  <c r="K38" s="1"/>
  <c r="L38" s="1"/>
  <c r="J37"/>
  <c r="K37" s="1"/>
  <c r="L37" s="1"/>
  <c r="J36"/>
  <c r="K36" s="1"/>
  <c r="D35"/>
  <c r="I30"/>
  <c r="J30" s="1"/>
  <c r="I28"/>
  <c r="G25"/>
  <c r="G32" s="1"/>
  <c r="E22"/>
  <c r="E24" s="1"/>
  <c r="D22"/>
  <c r="D24" s="1"/>
  <c r="J20"/>
  <c r="K20" s="1"/>
  <c r="J19"/>
  <c r="K19" s="1"/>
  <c r="F18"/>
  <c r="F22" s="1"/>
  <c r="F24" s="1"/>
  <c r="K31" i="19"/>
  <c r="K42"/>
  <c r="H40"/>
  <c r="H43" s="1"/>
  <c r="G40"/>
  <c r="G43" s="1"/>
  <c r="E40"/>
  <c r="E43" s="1"/>
  <c r="D40"/>
  <c r="D43" s="1"/>
  <c r="J37"/>
  <c r="F36"/>
  <c r="F35"/>
  <c r="F34"/>
  <c r="K33"/>
  <c r="J33"/>
  <c r="G32"/>
  <c r="H30"/>
  <c r="H32" s="1"/>
  <c r="G30"/>
  <c r="E30"/>
  <c r="E32" s="1"/>
  <c r="D30"/>
  <c r="D32" s="1"/>
  <c r="F29"/>
  <c r="F28"/>
  <c r="I28" s="1"/>
  <c r="F27"/>
  <c r="F26"/>
  <c r="F25"/>
  <c r="G22"/>
  <c r="G24" s="1"/>
  <c r="E22"/>
  <c r="E24" s="1"/>
  <c r="D22"/>
  <c r="D24" s="1"/>
  <c r="J20"/>
  <c r="J19"/>
  <c r="F18"/>
  <c r="F22" s="1"/>
  <c r="F24" s="1"/>
  <c r="K76" i="14" l="1"/>
  <c r="K30"/>
  <c r="L31"/>
  <c r="G44" i="19"/>
  <c r="I80" i="14"/>
  <c r="I102" s="1"/>
  <c r="I105" s="1"/>
  <c r="F30" i="19"/>
  <c r="F32" s="1"/>
  <c r="F44" s="1"/>
  <c r="H18"/>
  <c r="H22" s="1"/>
  <c r="H24" s="1"/>
  <c r="H44" s="1"/>
  <c r="E44"/>
  <c r="G18" i="14"/>
  <c r="G22" s="1"/>
  <c r="G24" s="1"/>
  <c r="I26"/>
  <c r="J26" s="1"/>
  <c r="L73"/>
  <c r="G35"/>
  <c r="E106"/>
  <c r="J27"/>
  <c r="K27" s="1"/>
  <c r="F106"/>
  <c r="D106"/>
  <c r="J12" s="1"/>
  <c r="H35"/>
  <c r="H18"/>
  <c r="H22" s="1"/>
  <c r="H24" s="1"/>
  <c r="I25"/>
  <c r="I32" s="1"/>
  <c r="J28"/>
  <c r="L36"/>
  <c r="J41"/>
  <c r="K41" s="1"/>
  <c r="K46" s="1"/>
  <c r="G113"/>
  <c r="G114" s="1"/>
  <c r="G116" s="1"/>
  <c r="D44" i="19"/>
  <c r="J12" s="1"/>
  <c r="J28"/>
  <c r="K28" s="1"/>
  <c r="I25"/>
  <c r="I26"/>
  <c r="J26" s="1"/>
  <c r="K26" s="1"/>
  <c r="I27"/>
  <c r="J27" s="1"/>
  <c r="K27" s="1"/>
  <c r="I29"/>
  <c r="J29" s="1"/>
  <c r="K29" s="1"/>
  <c r="I34"/>
  <c r="I35"/>
  <c r="J35" s="1"/>
  <c r="K35" s="1"/>
  <c r="I36"/>
  <c r="J36" s="1"/>
  <c r="K36" s="1"/>
  <c r="F40"/>
  <c r="F43" s="1"/>
  <c r="G106" i="14" l="1"/>
  <c r="R29"/>
  <c r="N29"/>
  <c r="I113"/>
  <c r="I114" s="1"/>
  <c r="I116" s="1"/>
  <c r="I35"/>
  <c r="I18"/>
  <c r="I22" s="1"/>
  <c r="I24" s="1"/>
  <c r="I18" i="19"/>
  <c r="I22" s="1"/>
  <c r="I24" s="1"/>
  <c r="J18"/>
  <c r="K18" s="1"/>
  <c r="K22" s="1"/>
  <c r="J80" i="14"/>
  <c r="K80" s="1"/>
  <c r="K102" s="1"/>
  <c r="K105" s="1"/>
  <c r="K26"/>
  <c r="L27"/>
  <c r="H106"/>
  <c r="K28"/>
  <c r="L30"/>
  <c r="J102"/>
  <c r="J105" s="1"/>
  <c r="L80"/>
  <c r="J46"/>
  <c r="J25"/>
  <c r="J32" s="1"/>
  <c r="J18"/>
  <c r="L28"/>
  <c r="J25" i="19"/>
  <c r="I30"/>
  <c r="I32" s="1"/>
  <c r="J22"/>
  <c r="I40"/>
  <c r="I43" s="1"/>
  <c r="J34"/>
  <c r="J113" i="14" l="1"/>
  <c r="J114" s="1"/>
  <c r="I106"/>
  <c r="K18"/>
  <c r="J22"/>
  <c r="T34"/>
  <c r="N28"/>
  <c r="N30" s="1"/>
  <c r="N31" s="1"/>
  <c r="J35"/>
  <c r="AN35" s="1"/>
  <c r="R28"/>
  <c r="L26"/>
  <c r="K25"/>
  <c r="K32" s="1"/>
  <c r="K113"/>
  <c r="K114" s="1"/>
  <c r="J47"/>
  <c r="K47" s="1"/>
  <c r="K49" s="1"/>
  <c r="J23" i="19"/>
  <c r="K23" s="1"/>
  <c r="K24" s="1"/>
  <c r="J30"/>
  <c r="J32" s="1"/>
  <c r="K25"/>
  <c r="K30" s="1"/>
  <c r="K32" s="1"/>
  <c r="K34"/>
  <c r="K40" s="1"/>
  <c r="J40"/>
  <c r="I44"/>
  <c r="J24" l="1"/>
  <c r="K35" i="14"/>
  <c r="K22"/>
  <c r="W107"/>
  <c r="J49"/>
  <c r="J115"/>
  <c r="K115" s="1"/>
  <c r="K116" s="1"/>
  <c r="K23"/>
  <c r="J41" i="19"/>
  <c r="K41" s="1"/>
  <c r="K43" s="1"/>
  <c r="K44" s="1"/>
  <c r="J43" l="1"/>
  <c r="J44" s="1"/>
  <c r="L45" s="1"/>
  <c r="J24" i="14"/>
  <c r="J116"/>
  <c r="K24"/>
  <c r="K106" s="1"/>
  <c r="K120" s="1"/>
  <c r="J106" l="1"/>
  <c r="S24"/>
  <c r="N107" l="1"/>
  <c r="S106"/>
  <c r="I56" i="28" l="1"/>
  <c r="I57"/>
  <c r="I58"/>
  <c r="I59"/>
  <c r="K32" i="29" l="1"/>
  <c r="F27" i="28" l="1"/>
  <c r="D15" i="29" l="1"/>
  <c r="D14"/>
  <c r="E62" i="28" l="1"/>
  <c r="D62"/>
  <c r="I61"/>
  <c r="F60"/>
  <c r="I60" s="1"/>
  <c r="F55"/>
  <c r="I55" s="1"/>
  <c r="F54"/>
  <c r="I54" s="1"/>
  <c r="F53"/>
  <c r="I53" s="1"/>
  <c r="F52"/>
  <c r="I52" s="1"/>
  <c r="F51"/>
  <c r="I51" s="1"/>
  <c r="F50"/>
  <c r="F50" i="29" s="1"/>
  <c r="H45" i="28"/>
  <c r="H48" s="1"/>
  <c r="H73" s="1"/>
  <c r="G45"/>
  <c r="G48" s="1"/>
  <c r="G73" s="1"/>
  <c r="F45"/>
  <c r="F48" s="1"/>
  <c r="F73" s="1"/>
  <c r="E45"/>
  <c r="E48" s="1"/>
  <c r="E73" s="1"/>
  <c r="D45"/>
  <c r="D48" s="1"/>
  <c r="D73" s="1"/>
  <c r="K44"/>
  <c r="K43"/>
  <c r="J42"/>
  <c r="K42" s="1"/>
  <c r="J41"/>
  <c r="K41" s="1"/>
  <c r="J40"/>
  <c r="K40" s="1"/>
  <c r="I39"/>
  <c r="I38"/>
  <c r="I37"/>
  <c r="I36"/>
  <c r="J36" s="1"/>
  <c r="K36" s="1"/>
  <c r="I35"/>
  <c r="H29"/>
  <c r="H33" s="1"/>
  <c r="E29"/>
  <c r="E33" s="1"/>
  <c r="D29"/>
  <c r="D33" s="1"/>
  <c r="I27"/>
  <c r="F26"/>
  <c r="I26" s="1"/>
  <c r="F25"/>
  <c r="I25" s="1"/>
  <c r="F24"/>
  <c r="F22"/>
  <c r="F21"/>
  <c r="F20"/>
  <c r="I20" s="1"/>
  <c r="F19"/>
  <c r="F27" i="29"/>
  <c r="F59"/>
  <c r="F58"/>
  <c r="F57"/>
  <c r="F56"/>
  <c r="F55"/>
  <c r="I35"/>
  <c r="F52" l="1"/>
  <c r="J61" i="28"/>
  <c r="I61" i="29"/>
  <c r="J38" i="28"/>
  <c r="I38" i="29"/>
  <c r="I26"/>
  <c r="F26"/>
  <c r="F20"/>
  <c r="I24" i="28"/>
  <c r="I24" i="29" s="1"/>
  <c r="F24"/>
  <c r="I21" i="28"/>
  <c r="I21" i="29" s="1"/>
  <c r="F21"/>
  <c r="I22" i="28"/>
  <c r="I22" i="29" s="1"/>
  <c r="F22"/>
  <c r="F19"/>
  <c r="I60"/>
  <c r="F60"/>
  <c r="I54"/>
  <c r="F54"/>
  <c r="I53"/>
  <c r="F53"/>
  <c r="I51"/>
  <c r="F51"/>
  <c r="J44"/>
  <c r="L44" s="1"/>
  <c r="K44"/>
  <c r="I43"/>
  <c r="I42"/>
  <c r="I41"/>
  <c r="I40"/>
  <c r="I39"/>
  <c r="I37"/>
  <c r="I36"/>
  <c r="I25"/>
  <c r="F25"/>
  <c r="I28"/>
  <c r="F28"/>
  <c r="I23"/>
  <c r="F23"/>
  <c r="E66" i="28"/>
  <c r="E74" s="1"/>
  <c r="D66"/>
  <c r="D74" s="1"/>
  <c r="E45" i="29"/>
  <c r="E48" s="1"/>
  <c r="E73" s="1"/>
  <c r="D62"/>
  <c r="H29"/>
  <c r="E62"/>
  <c r="J52" i="28"/>
  <c r="K52" s="1"/>
  <c r="J51"/>
  <c r="G45" i="29"/>
  <c r="G48" s="1"/>
  <c r="G73" s="1"/>
  <c r="D45"/>
  <c r="D48" s="1"/>
  <c r="D73" s="1"/>
  <c r="F45"/>
  <c r="F48" s="1"/>
  <c r="F73" s="1"/>
  <c r="H45"/>
  <c r="H48" s="1"/>
  <c r="H73" s="1"/>
  <c r="J39" i="28"/>
  <c r="K39" s="1"/>
  <c r="I45"/>
  <c r="I48" s="1"/>
  <c r="I73" s="1"/>
  <c r="J37"/>
  <c r="K37" s="1"/>
  <c r="E29" i="29"/>
  <c r="E33" s="1"/>
  <c r="D29"/>
  <c r="D33" s="1"/>
  <c r="Q33" s="1"/>
  <c r="D72" i="28"/>
  <c r="H72"/>
  <c r="E72"/>
  <c r="G19"/>
  <c r="J20"/>
  <c r="K20" s="1"/>
  <c r="J23"/>
  <c r="K23" s="1"/>
  <c r="J24"/>
  <c r="J25"/>
  <c r="J26"/>
  <c r="K26" s="1"/>
  <c r="J27"/>
  <c r="K27" s="1"/>
  <c r="J28"/>
  <c r="K28" s="1"/>
  <c r="F29"/>
  <c r="F33" s="1"/>
  <c r="J35"/>
  <c r="K35" s="1"/>
  <c r="H50"/>
  <c r="J56"/>
  <c r="K56" s="1"/>
  <c r="J57"/>
  <c r="K57" s="1"/>
  <c r="J58"/>
  <c r="K58" s="1"/>
  <c r="F62"/>
  <c r="G62"/>
  <c r="E67" l="1"/>
  <c r="K61"/>
  <c r="K61" i="29" s="1"/>
  <c r="J61"/>
  <c r="L61" s="1"/>
  <c r="J22" i="28"/>
  <c r="H62"/>
  <c r="H50" i="29"/>
  <c r="F67" i="28"/>
  <c r="K25"/>
  <c r="R30"/>
  <c r="K38"/>
  <c r="K38" i="29" s="1"/>
  <c r="J38"/>
  <c r="L38" s="1"/>
  <c r="D67" i="28"/>
  <c r="D66" i="29"/>
  <c r="D74" s="1"/>
  <c r="D90"/>
  <c r="E66"/>
  <c r="E67" s="1"/>
  <c r="K24" i="28"/>
  <c r="K24" i="29" s="1"/>
  <c r="J24"/>
  <c r="L24" s="1"/>
  <c r="K22" i="28"/>
  <c r="K22" i="29" s="1"/>
  <c r="J22"/>
  <c r="L22" s="1"/>
  <c r="J21" i="28"/>
  <c r="H33" i="29"/>
  <c r="H72" s="1"/>
  <c r="G19"/>
  <c r="G29" s="1"/>
  <c r="G59"/>
  <c r="I58"/>
  <c r="I57"/>
  <c r="I56"/>
  <c r="I55"/>
  <c r="J53"/>
  <c r="L53" s="1"/>
  <c r="J51"/>
  <c r="L51" s="1"/>
  <c r="K51"/>
  <c r="K43"/>
  <c r="J43"/>
  <c r="L43" s="1"/>
  <c r="K42"/>
  <c r="J42"/>
  <c r="L42" s="1"/>
  <c r="K41"/>
  <c r="J41"/>
  <c r="L41" s="1"/>
  <c r="J40"/>
  <c r="L40" s="1"/>
  <c r="K40"/>
  <c r="K39"/>
  <c r="J39"/>
  <c r="L39" s="1"/>
  <c r="J37"/>
  <c r="L37" s="1"/>
  <c r="K37"/>
  <c r="J36"/>
  <c r="L36" s="1"/>
  <c r="K36"/>
  <c r="K35"/>
  <c r="J35"/>
  <c r="L35" s="1"/>
  <c r="I27"/>
  <c r="K14" i="28"/>
  <c r="D75"/>
  <c r="D82" i="29" s="1"/>
  <c r="L31" i="28"/>
  <c r="M27"/>
  <c r="G74"/>
  <c r="G66"/>
  <c r="E75"/>
  <c r="F74"/>
  <c r="F66"/>
  <c r="H66"/>
  <c r="H67" s="1"/>
  <c r="I50"/>
  <c r="I62" s="1"/>
  <c r="I45" i="29"/>
  <c r="I48" s="1"/>
  <c r="I73" s="1"/>
  <c r="F29"/>
  <c r="H62"/>
  <c r="J60" i="28"/>
  <c r="K60" s="1"/>
  <c r="K60" i="29" s="1"/>
  <c r="J55" i="28"/>
  <c r="K55" s="1"/>
  <c r="F62" i="29"/>
  <c r="J54" i="28"/>
  <c r="K54" s="1"/>
  <c r="J53"/>
  <c r="K53" s="1"/>
  <c r="K53" i="29" s="1"/>
  <c r="K51" i="28"/>
  <c r="D72" i="29"/>
  <c r="E72"/>
  <c r="G29" i="28"/>
  <c r="G33" s="1"/>
  <c r="G67" s="1"/>
  <c r="J45"/>
  <c r="J48" s="1"/>
  <c r="F72"/>
  <c r="F75" s="1"/>
  <c r="I19"/>
  <c r="J19" s="1"/>
  <c r="J59"/>
  <c r="K59" s="1"/>
  <c r="I19" i="29"/>
  <c r="J60" l="1"/>
  <c r="L60" s="1"/>
  <c r="J50" i="28"/>
  <c r="I50" i="29"/>
  <c r="R31" i="28"/>
  <c r="R33"/>
  <c r="H74"/>
  <c r="H75" s="1"/>
  <c r="J73"/>
  <c r="S48"/>
  <c r="D75" i="29"/>
  <c r="D67"/>
  <c r="E74"/>
  <c r="E75" s="1"/>
  <c r="F66"/>
  <c r="F74" s="1"/>
  <c r="H66"/>
  <c r="H74" s="1"/>
  <c r="H75" s="1"/>
  <c r="K26"/>
  <c r="J26"/>
  <c r="L26" s="1"/>
  <c r="I20"/>
  <c r="I29" s="1"/>
  <c r="K21" i="28"/>
  <c r="K21" i="29" s="1"/>
  <c r="J21"/>
  <c r="L21" s="1"/>
  <c r="F33"/>
  <c r="F72" s="1"/>
  <c r="G33"/>
  <c r="G72" s="1"/>
  <c r="I59"/>
  <c r="K58"/>
  <c r="J58"/>
  <c r="L58" s="1"/>
  <c r="K57"/>
  <c r="J57"/>
  <c r="L57" s="1"/>
  <c r="K56"/>
  <c r="J56"/>
  <c r="L56" s="1"/>
  <c r="K55"/>
  <c r="J55"/>
  <c r="L55" s="1"/>
  <c r="J54"/>
  <c r="L54" s="1"/>
  <c r="K54"/>
  <c r="I52"/>
  <c r="J27"/>
  <c r="L27" s="1"/>
  <c r="K27"/>
  <c r="K25"/>
  <c r="J25"/>
  <c r="L25" s="1"/>
  <c r="J28"/>
  <c r="L28" s="1"/>
  <c r="K28"/>
  <c r="J23"/>
  <c r="L23" s="1"/>
  <c r="N27" i="28"/>
  <c r="O27" s="1"/>
  <c r="I66"/>
  <c r="I74" s="1"/>
  <c r="G62" i="29"/>
  <c r="G72" i="28"/>
  <c r="G75" s="1"/>
  <c r="J45" i="29"/>
  <c r="K45" i="28"/>
  <c r="K48" s="1"/>
  <c r="K45" i="29"/>
  <c r="K48" s="1"/>
  <c r="K73" s="1"/>
  <c r="I29" i="28"/>
  <c r="I33" s="1"/>
  <c r="K19"/>
  <c r="J29"/>
  <c r="J62"/>
  <c r="I72" l="1"/>
  <c r="I67"/>
  <c r="J50" i="29"/>
  <c r="L50" s="1"/>
  <c r="K50" i="28"/>
  <c r="K50" i="29" s="1"/>
  <c r="K14"/>
  <c r="Q67"/>
  <c r="K73" i="28"/>
  <c r="M48" i="29"/>
  <c r="H67"/>
  <c r="F75"/>
  <c r="K23"/>
  <c r="J48"/>
  <c r="L45"/>
  <c r="G66"/>
  <c r="G74" s="1"/>
  <c r="G75" s="1"/>
  <c r="J20"/>
  <c r="L20" s="1"/>
  <c r="K20"/>
  <c r="F67"/>
  <c r="I33"/>
  <c r="I72" s="1"/>
  <c r="K59"/>
  <c r="J59"/>
  <c r="L59" s="1"/>
  <c r="J52"/>
  <c r="L52" s="1"/>
  <c r="K52"/>
  <c r="K19"/>
  <c r="J19"/>
  <c r="L19" s="1"/>
  <c r="I75" i="28"/>
  <c r="I62" i="29"/>
  <c r="J30" i="28"/>
  <c r="K29"/>
  <c r="J63"/>
  <c r="K63" l="1"/>
  <c r="K63" i="29" s="1"/>
  <c r="J63"/>
  <c r="L63" s="1"/>
  <c r="K30" i="28"/>
  <c r="U31"/>
  <c r="K62"/>
  <c r="T64"/>
  <c r="G67" i="29"/>
  <c r="I66"/>
  <c r="I74" s="1"/>
  <c r="I75" s="1"/>
  <c r="J73"/>
  <c r="L48"/>
  <c r="J30"/>
  <c r="J29"/>
  <c r="K29"/>
  <c r="K66" i="28"/>
  <c r="J66"/>
  <c r="S66" s="1"/>
  <c r="J33"/>
  <c r="J62" i="29"/>
  <c r="K62"/>
  <c r="K33" i="28"/>
  <c r="K67" s="1"/>
  <c r="K66" i="29" l="1"/>
  <c r="J72" i="28"/>
  <c r="S33"/>
  <c r="J67"/>
  <c r="S67" s="1"/>
  <c r="M62" i="29"/>
  <c r="I67"/>
  <c r="M29"/>
  <c r="J66"/>
  <c r="L66" s="1"/>
  <c r="L62"/>
  <c r="K72" i="28"/>
  <c r="L30" i="29"/>
  <c r="L29"/>
  <c r="J33"/>
  <c r="L33" s="1"/>
  <c r="J74" i="28"/>
  <c r="J75" s="1"/>
  <c r="J13" l="1"/>
  <c r="J72" i="29"/>
  <c r="K74"/>
  <c r="K74" i="28"/>
  <c r="K75" s="1"/>
  <c r="K79" i="29"/>
  <c r="J74"/>
  <c r="J67"/>
  <c r="J75" l="1"/>
  <c r="K30"/>
  <c r="K33" s="1"/>
  <c r="J13"/>
  <c r="L67"/>
  <c r="K72" l="1"/>
  <c r="K75" s="1"/>
  <c r="K67"/>
  <c r="M33"/>
  <c r="N33" s="1"/>
  <c r="M67" l="1"/>
  <c r="N67" s="1"/>
</calcChain>
</file>

<file path=xl/sharedStrings.xml><?xml version="1.0" encoding="utf-8"?>
<sst xmlns="http://schemas.openxmlformats.org/spreadsheetml/2006/main" count="1777" uniqueCount="418">
  <si>
    <t>Унифицированная форма № Т-3
Утверждена Постановлением Госкомстата России
от 05.01.2004 № 1</t>
  </si>
  <si>
    <t>Код</t>
  </si>
  <si>
    <t>Форма по ОКУД</t>
  </si>
  <si>
    <t>0301017</t>
  </si>
  <si>
    <t>по ОКПО</t>
  </si>
  <si>
    <t>Сумма должностных окладов</t>
  </si>
  <si>
    <t>Надбавки</t>
  </si>
  <si>
    <t>Районный коэф-нт + южная надбавка -                                      60 %</t>
  </si>
  <si>
    <t>Муниципальное бюджетное общеобразовательное учреждение</t>
  </si>
  <si>
    <t>номер документа</t>
  </si>
  <si>
    <t>дата составления</t>
  </si>
  <si>
    <t>ШТАТНОЕ  РАСПИСАНИЕ</t>
  </si>
  <si>
    <t>Утверждено</t>
  </si>
  <si>
    <t>приказом учреждения</t>
  </si>
  <si>
    <t>от _______________ № ___________</t>
  </si>
  <si>
    <t>штат в количестве _________ единиц</t>
  </si>
  <si>
    <t>Руб.</t>
  </si>
  <si>
    <t>Наименование</t>
  </si>
  <si>
    <t>Должность</t>
  </si>
  <si>
    <t>Проф квал группа ,уровень</t>
  </si>
  <si>
    <t>Кол-во штат. единиц</t>
  </si>
  <si>
    <t>Должностной оклад</t>
  </si>
  <si>
    <t>Итого в месяц</t>
  </si>
  <si>
    <t>Разовый час,день за замещение</t>
  </si>
  <si>
    <t>Компенсационные выплаты</t>
  </si>
  <si>
    <t>Персональ-ные выплаты</t>
  </si>
  <si>
    <t>Краевая субвенция (0110075640)</t>
  </si>
  <si>
    <t>УЧИТЕЛЯ</t>
  </si>
  <si>
    <t>Учитель (к1)</t>
  </si>
  <si>
    <t xml:space="preserve">ПКГ долж.пед.раб.,4 кв.уровень </t>
  </si>
  <si>
    <t>Обучение на дому</t>
  </si>
  <si>
    <t>Инклюзивное обучение</t>
  </si>
  <si>
    <t>Педагогический персонал</t>
  </si>
  <si>
    <t>Социальный педагог</t>
  </si>
  <si>
    <t xml:space="preserve">ПКГ долж.пед.раб.,2 кв.уровень </t>
  </si>
  <si>
    <t>Педагог-психолог</t>
  </si>
  <si>
    <t xml:space="preserve">ПКГ долж.пед.раб.,3 кв.уровень </t>
  </si>
  <si>
    <t>Преподаватель-организатор ОБЖ</t>
  </si>
  <si>
    <t>Мастер производственного обучения</t>
  </si>
  <si>
    <t>педагог-библиотекарь</t>
  </si>
  <si>
    <t>Учитель-логопед</t>
  </si>
  <si>
    <t xml:space="preserve">Старший вожатый </t>
  </si>
  <si>
    <t xml:space="preserve">ПКГ долж.пед.раб.,1 кв.уровень </t>
  </si>
  <si>
    <t>Педагог дополнительного образования</t>
  </si>
  <si>
    <t>Инструктор по физической культуре</t>
  </si>
  <si>
    <t>Учитель логопед (коррекц)</t>
  </si>
  <si>
    <t>Учитель-дефектолог (корррекц)</t>
  </si>
  <si>
    <t>Cоциальный педагог (коррекц)</t>
  </si>
  <si>
    <t>Инструктор по труду (коррекц)</t>
  </si>
  <si>
    <t>Педагог-психолог (коррр)</t>
  </si>
  <si>
    <t>Педагог-организатор</t>
  </si>
  <si>
    <t>Иинструктор по лечебной физкультуре</t>
  </si>
  <si>
    <t xml:space="preserve">ПКГ средний мед.персонал.,1 кв.уровень </t>
  </si>
  <si>
    <t>Тьютор</t>
  </si>
  <si>
    <t>методист</t>
  </si>
  <si>
    <t>Фонд замещения,резерв</t>
  </si>
  <si>
    <t>Стимулирующий фонд</t>
  </si>
  <si>
    <t>ИТОГО ПО КРАЕВОЙ СУБВЕНЦИИ (0110075640)</t>
  </si>
  <si>
    <t>Краевая субвенция (0110074090)</t>
  </si>
  <si>
    <t>Административный персонал</t>
  </si>
  <si>
    <t xml:space="preserve">Директор </t>
  </si>
  <si>
    <t xml:space="preserve">Зам.директора </t>
  </si>
  <si>
    <t>Зам. директора по хозяйственной части</t>
  </si>
  <si>
    <t>Зам.директора по ИКТ</t>
  </si>
  <si>
    <t>Итого АУП</t>
  </si>
  <si>
    <t>Воспитатель группы продленного дня</t>
  </si>
  <si>
    <t>Воспитатель ГКП</t>
  </si>
  <si>
    <t>итого</t>
  </si>
  <si>
    <t>Итого:</t>
  </si>
  <si>
    <t>Учебно - вспомогательный персонал</t>
  </si>
  <si>
    <t>Инженер по охране труда</t>
  </si>
  <si>
    <t>ПКГ "общеотрасл. должности служащих 1 уровня 4 кв. уровень</t>
  </si>
  <si>
    <t>Секретарь/машинистка</t>
  </si>
  <si>
    <t>Инженер программист</t>
  </si>
  <si>
    <t>Делопроизводитель</t>
  </si>
  <si>
    <t xml:space="preserve">Лаборант </t>
  </si>
  <si>
    <t>ПКГ должностей работников учебно-всп.персонала 2 уровня,2 кв.уровень</t>
  </si>
  <si>
    <t>Стимулирующий фонд 15%</t>
  </si>
  <si>
    <t>Персональные выплаты до размера минимальной оплаты труда</t>
  </si>
  <si>
    <t>ИТОГО УВП</t>
  </si>
  <si>
    <t>Местный бюджет (0110080010)</t>
  </si>
  <si>
    <t>Обслуживающий персонал</t>
  </si>
  <si>
    <t>Сторож</t>
  </si>
  <si>
    <t>ПКГ "общеотрасл. Профессии рабочих  1 уровня 1 кв. уровень</t>
  </si>
  <si>
    <t>Гардеробщик</t>
  </si>
  <si>
    <t>Уборщик служебных помещений</t>
  </si>
  <si>
    <t>Подсобный рабочий по кухне</t>
  </si>
  <si>
    <t>Кладовщик</t>
  </si>
  <si>
    <t>Дворник</t>
  </si>
  <si>
    <t>Водитель автобуса</t>
  </si>
  <si>
    <t>ПКГ "общеотрасл. Профессии рабочих  2 уровня 4 кв. уровень</t>
  </si>
  <si>
    <t>Электрик</t>
  </si>
  <si>
    <t>ПКГ "общеотрасл. Профессии рабочих  2 уровня 2 кв. уровень</t>
  </si>
  <si>
    <t>Повар</t>
  </si>
  <si>
    <t>ПКГ "общеотрасл. Профессии рабочих  2 уровня 1 кв. уровень</t>
  </si>
  <si>
    <t>Шеф-повар</t>
  </si>
  <si>
    <t>ПКГ "общеотрасл. Профессии рабочих  2 уровня 3 кв. уровень</t>
  </si>
  <si>
    <t>Сантехник</t>
  </si>
  <si>
    <t>ВСЕГО ПО ШКОЛЕ:</t>
  </si>
  <si>
    <t xml:space="preserve">Главный бухгалтер </t>
  </si>
  <si>
    <t>0110074090</t>
  </si>
  <si>
    <t>Итого педагоги:</t>
  </si>
  <si>
    <t>ИТОГО ПО СУБВЕНЦИИ 0110074090</t>
  </si>
  <si>
    <t>Итого по 0110080010</t>
  </si>
  <si>
    <t>Главный бухгалтер</t>
  </si>
  <si>
    <t>Воспитатель (интернат)</t>
  </si>
  <si>
    <t>Младший воспитатель (интернат)</t>
  </si>
  <si>
    <t>Машинист по стирке белья</t>
  </si>
  <si>
    <t>Повар (интернат)</t>
  </si>
  <si>
    <t>Рабочий по текущему ремонту и обслуживанию зданий и соору-жений</t>
  </si>
  <si>
    <t>Библиотекарь</t>
  </si>
  <si>
    <t>Заведующий хозяйством</t>
  </si>
  <si>
    <t xml:space="preserve"> МКОУ ДО ДДТ "Юность" </t>
  </si>
  <si>
    <t xml:space="preserve">Педагог дополнительного образования </t>
  </si>
  <si>
    <t>Педагог дополнительного образования (совместители)</t>
  </si>
  <si>
    <t>итого по Учреждению</t>
  </si>
  <si>
    <t>Методист</t>
  </si>
  <si>
    <t>Директор</t>
  </si>
  <si>
    <t xml:space="preserve">ученики </t>
  </si>
  <si>
    <t>классы/комплекты</t>
  </si>
  <si>
    <t xml:space="preserve">                                                               </t>
  </si>
  <si>
    <t>Секретарь учебной части</t>
  </si>
  <si>
    <t>Ведущий юрисконсульт</t>
  </si>
  <si>
    <t>Персональные выплаты</t>
  </si>
  <si>
    <t>Рабочий по текущему ремонту и обслуживанию зданий и сооружений</t>
  </si>
  <si>
    <t>52008592</t>
  </si>
  <si>
    <t>Замещение</t>
  </si>
  <si>
    <t>О.А.Иванова</t>
  </si>
  <si>
    <t xml:space="preserve"> </t>
  </si>
  <si>
    <t xml:space="preserve">Учитель </t>
  </si>
  <si>
    <t>Учитель</t>
  </si>
  <si>
    <t>Учитель логопед (адаптированная программа)</t>
  </si>
  <si>
    <t>Учитель-дефектолог (адаптированная программа)</t>
  </si>
  <si>
    <t>Cоциальный педагог (адаптированная программа)</t>
  </si>
  <si>
    <t>Инструктор по труду (адаптированная программа)</t>
  </si>
  <si>
    <t>Педагог-психолог (адаптированная программа)</t>
  </si>
  <si>
    <t>Дополнительное образование</t>
  </si>
  <si>
    <t xml:space="preserve"> МКОУ Центр ПМСС"Открытый мир"</t>
  </si>
  <si>
    <t xml:space="preserve">Учитель-дефектолог </t>
  </si>
  <si>
    <t xml:space="preserve">ИТОГО </t>
  </si>
  <si>
    <t>Учебно - вспомогательный и обслуживающий  персонал</t>
  </si>
  <si>
    <t>Месячный фонд</t>
  </si>
  <si>
    <t>Краевая субвенция (0110074080)</t>
  </si>
  <si>
    <t>Младший воспитатель</t>
  </si>
  <si>
    <t>Краевая субвенция (0110075880)</t>
  </si>
  <si>
    <t>ИТОГО ПО СУБВЕНЦИИ 0110074080</t>
  </si>
  <si>
    <t>Воспитатель</t>
  </si>
  <si>
    <t>Музыкальный руководитель</t>
  </si>
  <si>
    <t>ИТОГО ПО КРАЕВОЙ СУБВЕНЦИИ (0110075880)</t>
  </si>
  <si>
    <t>ВСЕГО ПО ОУ</t>
  </si>
  <si>
    <t>Заведующий филиалом</t>
  </si>
  <si>
    <t>(Сад) Краевая субвенция (0110074080)</t>
  </si>
  <si>
    <t>(Сад) Местный бюджет (0110080010)</t>
  </si>
  <si>
    <t>(Сад) Краевая субвенция (0110075880)</t>
  </si>
  <si>
    <t>ВСЕГО ПО ФИЛИАЛУ:</t>
  </si>
  <si>
    <t>Стимулирующий фонд 15%,замещение</t>
  </si>
  <si>
    <t>Педагог дополнительного образования (Вакансия)</t>
  </si>
  <si>
    <t>от "____"_______ №_____</t>
  </si>
  <si>
    <t>фонд за 5 мес</t>
  </si>
  <si>
    <t>фонд за 7 мес</t>
  </si>
  <si>
    <t>Персональные выплаты до размера минимальной оплаты труда *</t>
  </si>
  <si>
    <t>47839448</t>
  </si>
  <si>
    <t>301017</t>
  </si>
  <si>
    <t>Муниципальное казенное  образовательное  учреждение</t>
  </si>
  <si>
    <t>Новобирилюсский детский сад "Колокольчик"</t>
  </si>
  <si>
    <t>Заведующий дошкольным учреждением</t>
  </si>
  <si>
    <t>Заместитель заведующего по АХЧ</t>
  </si>
  <si>
    <t>Заместитель заведующего по воспитательной и методической работе</t>
  </si>
  <si>
    <t>Юрисконсульт</t>
  </si>
  <si>
    <t>Секретарь</t>
  </si>
  <si>
    <t>Инспектор по кадрам</t>
  </si>
  <si>
    <t xml:space="preserve">Стимулирующий фонд </t>
  </si>
  <si>
    <t>Резерв отпусков,замещения</t>
  </si>
  <si>
    <t>кол-во  групп</t>
  </si>
  <si>
    <t>воспитатнников</t>
  </si>
  <si>
    <t>Педагог -психолог</t>
  </si>
  <si>
    <t>Старший воспитатель</t>
  </si>
  <si>
    <t>Педагог -психолог (адаптированная программа)</t>
  </si>
  <si>
    <t>Учитель-дефектолог</t>
  </si>
  <si>
    <t>Рабочий по стирке и ремонту спецодежды</t>
  </si>
  <si>
    <t>Кастелянша</t>
  </si>
  <si>
    <t>Рабочий по обслуживанию и текущему ремонту</t>
  </si>
  <si>
    <t>Кочегар</t>
  </si>
  <si>
    <t>Рассветовский  детский сад "Солнышко"</t>
  </si>
  <si>
    <t>СВОДНОЕ ШТАТНОЕ РАСПИСАНИЕ ПО САДАМ</t>
  </si>
  <si>
    <t>Филиал "Суриковский детский сад"</t>
  </si>
  <si>
    <t>Кухонный работник (подсобный работник по кухне)</t>
  </si>
  <si>
    <t>47839767</t>
  </si>
  <si>
    <t>Административный персонал,учебно-вспомогательный персонал</t>
  </si>
  <si>
    <t>Иванова О.А.</t>
  </si>
  <si>
    <t>Арефьевская    основная  общеобразовательная школа (МКОУ "Арефьевская ООШ")</t>
  </si>
  <si>
    <t>47839508</t>
  </si>
  <si>
    <t>Филиал Проточинский детский сад "Малыш"</t>
  </si>
  <si>
    <t xml:space="preserve">  </t>
  </si>
  <si>
    <t>Исп.Киктенко К.Г.</t>
  </si>
  <si>
    <t>на 2021 год</t>
  </si>
  <si>
    <t>итого в год</t>
  </si>
  <si>
    <t>Стимулирующий фонд,замещения</t>
  </si>
  <si>
    <t xml:space="preserve">итого в год </t>
  </si>
  <si>
    <t>Структурное подразделение Муниципальный опорный центр</t>
  </si>
  <si>
    <t>СТРУКТУРНОЕ ПОДРАЗДЕЛЕНИЕ "МУНИЦИПАЛЬНЫЙ ОПОРНЫЙ ЦЕНТР"</t>
  </si>
  <si>
    <t>Руководитель</t>
  </si>
  <si>
    <t>Шихарева Е.Г.</t>
  </si>
  <si>
    <t>Итого в год</t>
  </si>
  <si>
    <t>СВОДНОЕ ШТАТНОЕ  РАСПИСАНИЕ</t>
  </si>
  <si>
    <t>Исп.Киктенко К.Гю</t>
  </si>
  <si>
    <t>Исп. Киктенко К.Г.</t>
  </si>
  <si>
    <t>6866/6029</t>
  </si>
  <si>
    <t>ФОТ Центра "Открытый мир"  на 2021 год (С учетом вакансий)</t>
  </si>
  <si>
    <t>ФОТ Центра "Открытый мир" с внесенными изменениями с 01.01.2021 г</t>
  </si>
  <si>
    <t xml:space="preserve">Сумма средств на высбовождение после оптимизации штатного расписания Центра "Открытый мир" </t>
  </si>
  <si>
    <t>Годовой  ФОТ Дома творчества на 01.01.2021</t>
  </si>
  <si>
    <t xml:space="preserve">Годовой  ФОТ  Дома творчества на 2021  год ,внесенными изменениями с 01 фераля 2021 года </t>
  </si>
  <si>
    <t>Увеличение ФОТ Дома творчества "Юность" с 01.02.2021</t>
  </si>
  <si>
    <t>Исполнитель Киктенко К.Г.</t>
  </si>
  <si>
    <t>Штатные расписания прилагаются</t>
  </si>
  <si>
    <t>Анализ ФОТ учреждений для оптимизации штатных расписаний</t>
  </si>
  <si>
    <t xml:space="preserve">4 группа </t>
  </si>
  <si>
    <t>4 группа оплаты труда</t>
  </si>
  <si>
    <t>январь</t>
  </si>
  <si>
    <t>на 2022 год</t>
  </si>
  <si>
    <t>Филиал Проточинский детский сад</t>
  </si>
  <si>
    <t>ШТАТНОЕ РАСПИСАНИЕ</t>
  </si>
  <si>
    <t>Номер документа</t>
  </si>
  <si>
    <t>Дата составления</t>
  </si>
  <si>
    <t>УТВЕРЖЕНО</t>
  </si>
  <si>
    <t xml:space="preserve">по хозяйственной группе Управления образования </t>
  </si>
  <si>
    <t>02100622</t>
  </si>
  <si>
    <t>Приказом УО №  1 от 14.01. 2021 г</t>
  </si>
  <si>
    <t>на период "01"</t>
  </si>
  <si>
    <t>штат в количестве</t>
  </si>
  <si>
    <t xml:space="preserve">с месячным фондом оплаты труда 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</si>
  <si>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</si>
  <si>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</si>
  <si>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</si>
  <si>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</si>
  <si>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 xml:space="preserve">Всего в месяц, руб.
((гр. 6 + гр. 8 + гр. 10 + гр. 12+гр,14+гр.15) </t>
  </si>
  <si>
    <t>наименование</t>
  </si>
  <si>
    <t>%</t>
  </si>
  <si>
    <t>За сельскую местность,вредные условия труда</t>
  </si>
  <si>
    <t>Особый режим</t>
  </si>
  <si>
    <t>Классность</t>
  </si>
  <si>
    <t>Выполнение заданий особой важности</t>
  </si>
  <si>
    <t>Сумма</t>
  </si>
  <si>
    <t xml:space="preserve">Аппарат </t>
  </si>
  <si>
    <t>Хозяйственная группа</t>
  </si>
  <si>
    <t>Начальник</t>
  </si>
  <si>
    <t>Водитель</t>
  </si>
  <si>
    <t>Ведущий инженер</t>
  </si>
  <si>
    <t>Итого гарантированная зарплата</t>
  </si>
  <si>
    <t>Стимулирующий фонд заработной платы</t>
  </si>
  <si>
    <t>ИТОГО</t>
  </si>
  <si>
    <t xml:space="preserve">Начальник УО </t>
  </si>
  <si>
    <t xml:space="preserve">                Денисюкова Н.Н.</t>
  </si>
  <si>
    <t>Денисюкова Н.Н.</t>
  </si>
  <si>
    <t>января- 31 декабря 2022 года</t>
  </si>
  <si>
    <t>Приказом УО №  1 от 14.01. 2022 г</t>
  </si>
  <si>
    <t>Системный администратор</t>
  </si>
  <si>
    <t xml:space="preserve">по Аппарату управления </t>
  </si>
  <si>
    <t>единиц</t>
  </si>
  <si>
    <t>Единовременная выплата к отпуску (3,5 оклада)</t>
  </si>
  <si>
    <t>Надбавки за особые условия муниципальной службы</t>
  </si>
  <si>
    <t>Выслуга лет</t>
  </si>
  <si>
    <t>Количество окладов для поощрения</t>
  </si>
  <si>
    <t>Денежное поощрение (окладов)</t>
  </si>
  <si>
    <t>Ежемесячная надбавка за классный чин</t>
  </si>
  <si>
    <t>Ведущий специалист по общему образованию (Я)</t>
  </si>
  <si>
    <t>Ведущий специалист по общему образованию (К)</t>
  </si>
  <si>
    <t>Ведущий специалист по общему образованию (Т)</t>
  </si>
  <si>
    <t xml:space="preserve">Ведущий специалист по общему образованию </t>
  </si>
  <si>
    <t>Количество должностных окладов в год на одного специалиста  при формировании фонда оплаты труда</t>
  </si>
  <si>
    <t xml:space="preserve">Предельное значение должностного оклада на планируемый год по должности "главный специалист" </t>
  </si>
  <si>
    <t>Численность специалистов  на планируемый год, 
человек</t>
  </si>
  <si>
    <t xml:space="preserve">Районный коэффициент и процентная надбавка к заработной плате </t>
  </si>
  <si>
    <t xml:space="preserve">                     </t>
  </si>
  <si>
    <t>УТВЕРЖДЕНО</t>
  </si>
  <si>
    <t>по аппарату управления (МОП)</t>
  </si>
  <si>
    <t>код</t>
  </si>
  <si>
    <t>Материальная помощь к отпуску</t>
  </si>
  <si>
    <t>Выполнение работы,не вход.в круг долж.обязанностей,  сложность ,интенсивность</t>
  </si>
  <si>
    <t>Районый коэффициент</t>
  </si>
  <si>
    <t>Южная надбавка</t>
  </si>
  <si>
    <t>1</t>
  </si>
  <si>
    <t>Персональные выплаты в целях обеспечения МРОТ</t>
  </si>
  <si>
    <t xml:space="preserve">Всего </t>
  </si>
  <si>
    <t xml:space="preserve">                         Казакова Н.Е</t>
  </si>
  <si>
    <t xml:space="preserve">                       Иванова О.А.</t>
  </si>
  <si>
    <t>на период с 01 января-31 декабря 2022 года</t>
  </si>
  <si>
    <t xml:space="preserve">Замещение </t>
  </si>
  <si>
    <t>___.01.2022</t>
  </si>
  <si>
    <t>Приложение № 2 к приказу УО  № ____от "_____" ______2021 г.</t>
  </si>
  <si>
    <t>по Бухгалтерии Управления образования</t>
  </si>
  <si>
    <t>За сельскую местность</t>
  </si>
  <si>
    <t>Сложность</t>
  </si>
  <si>
    <t>Стаж работы</t>
  </si>
  <si>
    <t>2</t>
  </si>
  <si>
    <t>Зам.главного бухгалтера</t>
  </si>
  <si>
    <t>3</t>
  </si>
  <si>
    <t>4</t>
  </si>
  <si>
    <t>Ведущий бухгалтер (Н.И.)</t>
  </si>
  <si>
    <t>5</t>
  </si>
  <si>
    <t>Ведущий бухгалтер расчетной группы (В.В)</t>
  </si>
  <si>
    <t>6</t>
  </si>
  <si>
    <t>Ведущий бухгалтер расчетной группы (О.Н.)</t>
  </si>
  <si>
    <t>7</t>
  </si>
  <si>
    <t>Ведущий бухгалтер расчетной группы  (К.О.)</t>
  </si>
  <si>
    <t>8</t>
  </si>
  <si>
    <t>Ведущий бухгалтер материальной группы  (А.А.)</t>
  </si>
  <si>
    <t>9</t>
  </si>
  <si>
    <t>Ведущий бухгалтер материальной группы (Е.А.)</t>
  </si>
  <si>
    <t>10</t>
  </si>
  <si>
    <t>Ведущий бухгалтер материальной группы (Л.В.)</t>
  </si>
  <si>
    <t>11</t>
  </si>
  <si>
    <t>Ведущий бухгалтер материальной группы (Е.Д.)</t>
  </si>
  <si>
    <t>12</t>
  </si>
  <si>
    <t>Ведущий бухгалтер материальной группы (Л.Н.)</t>
  </si>
  <si>
    <t>13</t>
  </si>
  <si>
    <t>Ведущий экономист (Т.И.)</t>
  </si>
  <si>
    <t>14</t>
  </si>
  <si>
    <t>Ведущий экономист ( О.А.)</t>
  </si>
  <si>
    <t>15</t>
  </si>
  <si>
    <t>16</t>
  </si>
  <si>
    <t>МРОТ</t>
  </si>
  <si>
    <t>Начальник УО</t>
  </si>
  <si>
    <t>Денисюкова Н.Н,</t>
  </si>
  <si>
    <t>Главный бухгатер</t>
  </si>
  <si>
    <t>на период  с 01 октября-31 декабря 2021 г</t>
  </si>
  <si>
    <t>итого на 3 месяца</t>
  </si>
  <si>
    <t xml:space="preserve">Юрист </t>
  </si>
  <si>
    <t>Ведущий экономист (Т.О.)</t>
  </si>
  <si>
    <t>Приложение № 1 к приказу УО  № 85/к от " 01" октября 2021 г.</t>
  </si>
  <si>
    <t>Приказом УО №  85/к от 01.10. 2021 г</t>
  </si>
  <si>
    <t>На доплаты (замещения, стимулирующий фонд)</t>
  </si>
  <si>
    <t>Фонд стимулирующих выплат на АУП</t>
  </si>
  <si>
    <t>Доплаты</t>
  </si>
  <si>
    <t>Педагог дополнительного образования (ПФДО)</t>
  </si>
  <si>
    <t>Педагог дополнительного образования (совместители) ПФДО</t>
  </si>
  <si>
    <t>итого по Дому творчества</t>
  </si>
  <si>
    <t>Руководитель МОЦ</t>
  </si>
  <si>
    <t>Фонд предусмотренный на стимулирущие выплаты,доплаты</t>
  </si>
  <si>
    <t>итого по МОЦ</t>
  </si>
  <si>
    <t>всего по учреждению</t>
  </si>
  <si>
    <t>110080010 (Не ПФДО)</t>
  </si>
  <si>
    <t>0110080240 (ПФДО)</t>
  </si>
  <si>
    <t>АУП (ПФДО)</t>
  </si>
  <si>
    <t>Педагогичсекие работники (ПФДО)</t>
  </si>
  <si>
    <t>Педагогические работники (не ПФДО)</t>
  </si>
  <si>
    <t>Средства на повышение заработной платы на 10%</t>
  </si>
  <si>
    <t>от  10.01.2021 № 04</t>
  </si>
  <si>
    <t>22 ставки до МРОТ</t>
  </si>
  <si>
    <t xml:space="preserve">        </t>
  </si>
  <si>
    <t>Стимулирующие,Доплата до МРОТ</t>
  </si>
  <si>
    <t>Особый режим,сложность,выполнение заданий особой важности</t>
  </si>
  <si>
    <t>июль</t>
  </si>
  <si>
    <t>итого за 6 месяцев</t>
  </si>
  <si>
    <t xml:space="preserve">Ведущий бухгалтер материальной группы </t>
  </si>
  <si>
    <t>Ведущий экономист (Т.А.)</t>
  </si>
  <si>
    <t>Контрактный управляющий (экономист)</t>
  </si>
  <si>
    <t>с 01.07.2022-31.12.2022 г</t>
  </si>
  <si>
    <t>Учитель (адаптированная программма)</t>
  </si>
  <si>
    <t>Учитель надомного обучения</t>
  </si>
  <si>
    <t>машинист по стирке белья</t>
  </si>
  <si>
    <t>итого за 6 м</t>
  </si>
  <si>
    <t>ОУ</t>
  </si>
  <si>
    <t>ФОТ на 01.01.2022</t>
  </si>
  <si>
    <t>увеличение на 8,6%</t>
  </si>
  <si>
    <t>МКОУ Арефьефская ООШ</t>
  </si>
  <si>
    <t>педагогическая 0702</t>
  </si>
  <si>
    <t>педагогическая 0703</t>
  </si>
  <si>
    <t>административная</t>
  </si>
  <si>
    <t>Внеурочная деятельность с 01.09.2022</t>
  </si>
  <si>
    <t>месячный фонд на 01.09.2022</t>
  </si>
  <si>
    <t>Лимиты ФОТ с изменениями на 01.09.22</t>
  </si>
  <si>
    <t>МКОУ Проточинская СОШ</t>
  </si>
  <si>
    <t>на выполнение указа Президента РФ</t>
  </si>
  <si>
    <t>МКОУ Полевскя СОШ</t>
  </si>
  <si>
    <t>МКОУ Орловская СОШ</t>
  </si>
  <si>
    <t>МКОУ Кирчиженская</t>
  </si>
  <si>
    <t xml:space="preserve">МКОУ Суриковская школа </t>
  </si>
  <si>
    <t xml:space="preserve">МБОУ Рассветовская школа </t>
  </si>
  <si>
    <t>на 2023 год</t>
  </si>
  <si>
    <t>центр</t>
  </si>
  <si>
    <t>Начальник отдела</t>
  </si>
  <si>
    <t>Приложение  1 к приказу УО  № 51 от "___"_____2022 г.</t>
  </si>
  <si>
    <t>Приказом УО № _____от "___" _______2022 г</t>
  </si>
  <si>
    <t xml:space="preserve">И.о. начальника УО </t>
  </si>
  <si>
    <t>Голубева И.В.</t>
  </si>
  <si>
    <t xml:space="preserve">Приказом УО №  </t>
  </si>
  <si>
    <t>Ведущий бухгалтер материальной группы  (Н.А.)</t>
  </si>
  <si>
    <t>Ведущий экономист (К.Г.)</t>
  </si>
  <si>
    <t>Приложение № 3 к приказу УО  № 51 от " ____    2022 г.</t>
  </si>
  <si>
    <t>Стимулирующий фонд (премия)</t>
  </si>
  <si>
    <t>маш</t>
  </si>
  <si>
    <t>кас</t>
  </si>
  <si>
    <t>на 01 января 2022 года</t>
  </si>
  <si>
    <t>на 01 февраля 2022 года</t>
  </si>
  <si>
    <t>Вахтер (сторож)</t>
  </si>
  <si>
    <t>Приложение  1 к приказу УО  №  от "___"_____2023 г.</t>
  </si>
  <si>
    <t>января- 31 декабря 2023 года</t>
  </si>
  <si>
    <t>Должность (специальность, профессия),разряд,класс (категория)квалификации</t>
  </si>
  <si>
    <t>Документовед</t>
  </si>
  <si>
    <t>Инженерно-технический отдел</t>
  </si>
  <si>
    <t>Начальник  отдела</t>
  </si>
  <si>
    <t>Инженер</t>
  </si>
  <si>
    <t>Технолог</t>
  </si>
  <si>
    <t>Диспетчер</t>
  </si>
  <si>
    <t>Рабочий по комплексному обслуживанию и ремонту зданий</t>
  </si>
  <si>
    <t>Психолого-медико-педагогическая комиссия</t>
  </si>
  <si>
    <t>Педагог- психолог</t>
  </si>
  <si>
    <t>Всего гарантированная  часть в месяц</t>
  </si>
  <si>
    <t>Стимулирующие выплаты в год</t>
  </si>
  <si>
    <t>Сумма средств направляемая в резерв для оплаты отпусков, выплаты пособия  за первые три дня по временной нетрудоспособности за счет средств работодателя, оплаты дней служебных командировок, подготовки переподготовки, повышения квалификации педагогических работников,замещение:</t>
  </si>
  <si>
    <t>Минимальный размер оплаты труда 25988,00 рублей</t>
  </si>
  <si>
    <t>Стимулирующий фонд, замещения</t>
  </si>
  <si>
    <t xml:space="preserve">план </t>
  </si>
  <si>
    <t>итого за 4 месяца</t>
  </si>
  <si>
    <t>сентябрь</t>
  </si>
  <si>
    <t>на 01 сентября- 31 декабря 2023</t>
  </si>
</sst>
</file>

<file path=xl/styles.xml><?xml version="1.0" encoding="utf-8"?>
<styleSheet xmlns="http://schemas.openxmlformats.org/spreadsheetml/2006/main">
  <numFmts count="12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#,##0.0"/>
    <numFmt numFmtId="167" formatCode="0.0"/>
    <numFmt numFmtId="168" formatCode="#,##0.000"/>
    <numFmt numFmtId="169" formatCode="_-* #,##0.000_р_._-;\-* #,##0.000_р_._-;_-* &quot;-&quot;??_р_._-;_-@_-"/>
    <numFmt numFmtId="170" formatCode="_-* #,##0.0_р_._-;\-* #,##0.0_р_._-;_-* &quot;-&quot;??_р_._-;_-@_-"/>
    <numFmt numFmtId="171" formatCode="#,##0.0000"/>
    <numFmt numFmtId="172" formatCode="_-* #,##0.000\ _₽_-;\-* #,##0.000\ _₽_-;_-* &quot;-&quot;???\ _₽_-;_-@_-"/>
    <numFmt numFmtId="173" formatCode="_-* #,##0_р_._-;\-* #,##0_р_._-;_-* &quot;-&quot;??_р_._-;_-@_-"/>
    <numFmt numFmtId="174" formatCode="0.000"/>
  </numFmts>
  <fonts count="7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Narrow"/>
      <family val="2"/>
      <charset val="204"/>
    </font>
    <font>
      <b/>
      <u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u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9"/>
      <color rgb="FFFF000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 Cyr"/>
    </font>
    <font>
      <b/>
      <u/>
      <sz val="11"/>
      <name val="Arial"/>
      <family val="2"/>
      <charset val="204"/>
    </font>
    <font>
      <b/>
      <sz val="9"/>
      <color rgb="FF00206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5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1" fillId="0" borderId="0"/>
  </cellStyleXfs>
  <cellXfs count="1591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Border="1" applyAlignment="1"/>
    <xf numFmtId="0" fontId="10" fillId="2" borderId="0" xfId="0" applyFont="1" applyFill="1" applyAlignment="1"/>
    <xf numFmtId="0" fontId="11" fillId="2" borderId="0" xfId="0" applyFont="1" applyFill="1"/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165" fontId="10" fillId="2" borderId="0" xfId="0" applyNumberFormat="1" applyFont="1" applyFill="1" applyAlignment="1"/>
    <xf numFmtId="0" fontId="16" fillId="2" borderId="0" xfId="0" applyFont="1" applyFill="1"/>
    <xf numFmtId="0" fontId="10" fillId="2" borderId="0" xfId="0" applyFont="1" applyFill="1" applyAlignment="1">
      <alignment horizontal="right"/>
    </xf>
    <xf numFmtId="166" fontId="10" fillId="2" borderId="1" xfId="3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center" vertical="center" wrapText="1"/>
    </xf>
    <xf numFmtId="164" fontId="10" fillId="2" borderId="1" xfId="1" applyFont="1" applyFill="1" applyBorder="1"/>
    <xf numFmtId="166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66" fontId="10" fillId="2" borderId="5" xfId="3" applyNumberFormat="1" applyFont="1" applyFill="1" applyBorder="1" applyAlignment="1">
      <alignment horizontal="center" vertical="center" wrapText="1"/>
    </xf>
    <xf numFmtId="4" fontId="10" fillId="2" borderId="5" xfId="3" applyNumberFormat="1" applyFont="1" applyFill="1" applyBorder="1" applyAlignment="1">
      <alignment horizontal="center" vertical="center" wrapText="1"/>
    </xf>
    <xf numFmtId="164" fontId="10" fillId="2" borderId="5" xfId="1" applyFont="1" applyFill="1" applyBorder="1"/>
    <xf numFmtId="0" fontId="10" fillId="2" borderId="8" xfId="0" applyFont="1" applyFill="1" applyBorder="1" applyAlignment="1">
      <alignment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166" fontId="10" fillId="2" borderId="9" xfId="0" applyNumberFormat="1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166" fontId="10" fillId="2" borderId="11" xfId="3" applyNumberFormat="1" applyFont="1" applyFill="1" applyBorder="1" applyAlignment="1">
      <alignment horizontal="center" vertical="center" wrapText="1"/>
    </xf>
    <xf numFmtId="4" fontId="10" fillId="2" borderId="11" xfId="3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right" vertical="center" wrapText="1"/>
    </xf>
    <xf numFmtId="166" fontId="19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164" fontId="5" fillId="2" borderId="1" xfId="1" applyFont="1" applyFill="1" applyBorder="1"/>
    <xf numFmtId="0" fontId="9" fillId="2" borderId="5" xfId="0" applyFont="1" applyFill="1" applyBorder="1"/>
    <xf numFmtId="0" fontId="19" fillId="2" borderId="8" xfId="0" applyFont="1" applyFill="1" applyBorder="1" applyAlignment="1">
      <alignment vertical="center" wrapText="1"/>
    </xf>
    <xf numFmtId="3" fontId="19" fillId="2" borderId="9" xfId="0" applyNumberFormat="1" applyFont="1" applyFill="1" applyBorder="1" applyAlignment="1">
      <alignment horizontal="center" vertical="center" wrapText="1"/>
    </xf>
    <xf numFmtId="4" fontId="19" fillId="2" borderId="1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/>
    <xf numFmtId="4" fontId="9" fillId="2" borderId="0" xfId="0" applyNumberFormat="1" applyFont="1" applyFill="1"/>
    <xf numFmtId="0" fontId="10" fillId="2" borderId="3" xfId="0" applyFont="1" applyFill="1" applyBorder="1" applyAlignment="1">
      <alignment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  <xf numFmtId="164" fontId="10" fillId="2" borderId="3" xfId="3" applyFont="1" applyFill="1" applyBorder="1" applyAlignment="1">
      <alignment horizontal="center" vertical="center" wrapText="1"/>
    </xf>
    <xf numFmtId="4" fontId="10" fillId="2" borderId="3" xfId="3" applyNumberFormat="1" applyFont="1" applyFill="1" applyBorder="1" applyAlignment="1">
      <alignment horizontal="center" vertical="center" wrapText="1"/>
    </xf>
    <xf numFmtId="164" fontId="10" fillId="2" borderId="1" xfId="3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164" fontId="5" fillId="2" borderId="11" xfId="1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horizontal="center" vertical="center" wrapText="1"/>
    </xf>
    <xf numFmtId="164" fontId="10" fillId="2" borderId="5" xfId="3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horizontal="right" vertical="center" wrapText="1"/>
    </xf>
    <xf numFmtId="0" fontId="19" fillId="2" borderId="18" xfId="0" applyFont="1" applyFill="1" applyBorder="1" applyAlignment="1">
      <alignment vertical="center" wrapText="1"/>
    </xf>
    <xf numFmtId="3" fontId="19" fillId="2" borderId="16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0" fillId="2" borderId="15" xfId="0" applyFont="1" applyFill="1" applyBorder="1" applyAlignment="1">
      <alignment vertical="top" wrapText="1"/>
    </xf>
    <xf numFmtId="0" fontId="19" fillId="2" borderId="13" xfId="0" applyFont="1" applyFill="1" applyBorder="1" applyAlignment="1">
      <alignment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164" fontId="9" fillId="2" borderId="0" xfId="0" applyNumberFormat="1" applyFont="1" applyFill="1"/>
    <xf numFmtId="0" fontId="10" fillId="2" borderId="1" xfId="0" applyFont="1" applyFill="1" applyBorder="1"/>
    <xf numFmtId="167" fontId="9" fillId="2" borderId="0" xfId="0" applyNumberFormat="1" applyFont="1" applyFill="1"/>
    <xf numFmtId="0" fontId="10" fillId="2" borderId="0" xfId="0" applyFont="1" applyFill="1"/>
    <xf numFmtId="4" fontId="10" fillId="2" borderId="1" xfId="0" applyNumberFormat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center" vertical="center"/>
    </xf>
    <xf numFmtId="0" fontId="10" fillId="2" borderId="5" xfId="0" applyFont="1" applyFill="1" applyBorder="1"/>
    <xf numFmtId="0" fontId="10" fillId="2" borderId="9" xfId="0" applyFont="1" applyFill="1" applyBorder="1" applyAlignment="1">
      <alignment horizontal="center" vertical="center" wrapText="1"/>
    </xf>
    <xf numFmtId="4" fontId="10" fillId="2" borderId="9" xfId="0" applyNumberFormat="1" applyFont="1" applyFill="1" applyBorder="1"/>
    <xf numFmtId="4" fontId="10" fillId="2" borderId="10" xfId="0" applyNumberFormat="1" applyFont="1" applyFill="1" applyBorder="1"/>
    <xf numFmtId="4" fontId="10" fillId="2" borderId="3" xfId="0" applyNumberFormat="1" applyFont="1" applyFill="1" applyBorder="1"/>
    <xf numFmtId="0" fontId="10" fillId="2" borderId="5" xfId="0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center" vertical="center"/>
    </xf>
    <xf numFmtId="164" fontId="9" fillId="2" borderId="0" xfId="1" applyFont="1" applyFill="1"/>
    <xf numFmtId="166" fontId="5" fillId="2" borderId="1" xfId="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vertical="center"/>
    </xf>
    <xf numFmtId="2" fontId="10" fillId="2" borderId="1" xfId="0" applyNumberFormat="1" applyFont="1" applyFill="1" applyBorder="1"/>
    <xf numFmtId="2" fontId="10" fillId="2" borderId="5" xfId="0" applyNumberFormat="1" applyFont="1" applyFill="1" applyBorder="1"/>
    <xf numFmtId="4" fontId="19" fillId="2" borderId="3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2" fontId="5" fillId="2" borderId="1" xfId="0" applyNumberFormat="1" applyFont="1" applyFill="1" applyBorder="1"/>
    <xf numFmtId="4" fontId="5" fillId="2" borderId="11" xfId="3" applyNumberFormat="1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6" fontId="5" fillId="2" borderId="3" xfId="3" applyNumberFormat="1" applyFont="1" applyFill="1" applyBorder="1" applyAlignment="1">
      <alignment horizontal="center" vertical="center" wrapText="1"/>
    </xf>
    <xf numFmtId="164" fontId="5" fillId="2" borderId="11" xfId="3" applyFont="1" applyFill="1" applyBorder="1" applyAlignment="1">
      <alignment horizontal="center" vertical="center" wrapText="1"/>
    </xf>
    <xf numFmtId="4" fontId="5" fillId="2" borderId="3" xfId="3" applyNumberFormat="1" applyFont="1" applyFill="1" applyBorder="1" applyAlignment="1">
      <alignment horizontal="center" vertical="center" wrapText="1"/>
    </xf>
    <xf numFmtId="164" fontId="5" fillId="2" borderId="1" xfId="3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5" fillId="2" borderId="5" xfId="3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/>
    <xf numFmtId="164" fontId="5" fillId="2" borderId="5" xfId="1" applyFont="1" applyFill="1" applyBorder="1"/>
    <xf numFmtId="3" fontId="5" fillId="2" borderId="5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5" xfId="3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/>
    <xf numFmtId="167" fontId="5" fillId="2" borderId="1" xfId="0" applyNumberFormat="1" applyFont="1" applyFill="1" applyBorder="1"/>
    <xf numFmtId="4" fontId="5" fillId="2" borderId="1" xfId="0" applyNumberFormat="1" applyFont="1" applyFill="1" applyBorder="1"/>
    <xf numFmtId="0" fontId="5" fillId="2" borderId="1" xfId="0" applyFont="1" applyFill="1" applyBorder="1"/>
    <xf numFmtId="4" fontId="5" fillId="2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/>
    <xf numFmtId="4" fontId="5" fillId="2" borderId="5" xfId="0" applyNumberFormat="1" applyFont="1" applyFill="1" applyBorder="1"/>
    <xf numFmtId="167" fontId="5" fillId="2" borderId="5" xfId="0" applyNumberFormat="1" applyFont="1" applyFill="1" applyBorder="1"/>
    <xf numFmtId="4" fontId="10" fillId="2" borderId="11" xfId="0" applyNumberFormat="1" applyFont="1" applyFill="1" applyBorder="1"/>
    <xf numFmtId="4" fontId="19" fillId="2" borderId="10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vertical="center"/>
    </xf>
    <xf numFmtId="164" fontId="5" fillId="2" borderId="3" xfId="3" applyFont="1" applyFill="1" applyBorder="1" applyAlignment="1">
      <alignment horizontal="center" vertical="center" wrapText="1"/>
    </xf>
    <xf numFmtId="167" fontId="5" fillId="2" borderId="0" xfId="0" applyNumberFormat="1" applyFont="1" applyFill="1" applyBorder="1"/>
    <xf numFmtId="0" fontId="5" fillId="2" borderId="23" xfId="0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9" fillId="2" borderId="0" xfId="0" applyFont="1" applyFill="1" applyBorder="1"/>
    <xf numFmtId="164" fontId="4" fillId="2" borderId="3" xfId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/>
    <xf numFmtId="2" fontId="9" fillId="2" borderId="19" xfId="0" applyNumberFormat="1" applyFont="1" applyFill="1" applyBorder="1"/>
    <xf numFmtId="2" fontId="9" fillId="2" borderId="24" xfId="0" applyNumberFormat="1" applyFont="1" applyFill="1" applyBorder="1"/>
    <xf numFmtId="0" fontId="9" fillId="2" borderId="31" xfId="0" applyFont="1" applyFill="1" applyBorder="1"/>
    <xf numFmtId="2" fontId="9" fillId="2" borderId="25" xfId="0" applyNumberFormat="1" applyFont="1" applyFill="1" applyBorder="1"/>
    <xf numFmtId="0" fontId="9" fillId="2" borderId="19" xfId="0" applyFont="1" applyFill="1" applyBorder="1"/>
    <xf numFmtId="0" fontId="9" fillId="2" borderId="24" xfId="0" applyFont="1" applyFill="1" applyBorder="1"/>
    <xf numFmtId="0" fontId="9" fillId="2" borderId="32" xfId="0" applyFont="1" applyFill="1" applyBorder="1"/>
    <xf numFmtId="0" fontId="20" fillId="2" borderId="32" xfId="0" applyFont="1" applyFill="1" applyBorder="1"/>
    <xf numFmtId="164" fontId="9" fillId="2" borderId="19" xfId="0" applyNumberFormat="1" applyFont="1" applyFill="1" applyBorder="1"/>
    <xf numFmtId="164" fontId="10" fillId="2" borderId="19" xfId="0" applyNumberFormat="1" applyFont="1" applyFill="1" applyBorder="1"/>
    <xf numFmtId="164" fontId="9" fillId="2" borderId="24" xfId="1" applyFont="1" applyFill="1" applyBorder="1"/>
    <xf numFmtId="164" fontId="9" fillId="2" borderId="0" xfId="1" applyFont="1" applyFill="1" applyBorder="1"/>
    <xf numFmtId="4" fontId="10" fillId="2" borderId="21" xfId="0" applyNumberFormat="1" applyFont="1" applyFill="1" applyBorder="1"/>
    <xf numFmtId="4" fontId="10" fillId="2" borderId="25" xfId="0" applyNumberFormat="1" applyFont="1" applyFill="1" applyBorder="1"/>
    <xf numFmtId="4" fontId="10" fillId="2" borderId="20" xfId="3" applyNumberFormat="1" applyFont="1" applyFill="1" applyBorder="1" applyAlignment="1">
      <alignment horizontal="center" vertical="center" wrapText="1"/>
    </xf>
    <xf numFmtId="4" fontId="10" fillId="2" borderId="10" xfId="0" applyNumberFormat="1" applyFont="1" applyFill="1" applyBorder="1" applyAlignment="1">
      <alignment horizontal="center" vertical="center" wrapText="1"/>
    </xf>
    <xf numFmtId="4" fontId="10" fillId="2" borderId="33" xfId="3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vertical="top" wrapText="1"/>
    </xf>
    <xf numFmtId="4" fontId="19" fillId="2" borderId="17" xfId="0" applyNumberFormat="1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vertical="top" wrapText="1"/>
    </xf>
    <xf numFmtId="0" fontId="10" fillId="2" borderId="35" xfId="0" applyFont="1" applyFill="1" applyBorder="1" applyAlignment="1">
      <alignment vertical="top" wrapText="1"/>
    </xf>
    <xf numFmtId="4" fontId="10" fillId="2" borderId="38" xfId="3" applyNumberFormat="1" applyFont="1" applyFill="1" applyBorder="1" applyAlignment="1">
      <alignment horizontal="center" vertical="center" wrapText="1"/>
    </xf>
    <xf numFmtId="166" fontId="19" fillId="2" borderId="10" xfId="0" applyNumberFormat="1" applyFont="1" applyFill="1" applyBorder="1" applyAlignment="1">
      <alignment horizontal="center" vertical="center" wrapText="1"/>
    </xf>
    <xf numFmtId="0" fontId="10" fillId="2" borderId="40" xfId="0" applyFont="1" applyFill="1" applyBorder="1" applyAlignment="1"/>
    <xf numFmtId="0" fontId="23" fillId="2" borderId="41" xfId="0" applyFont="1" applyFill="1" applyBorder="1" applyAlignment="1">
      <alignment vertical="center"/>
    </xf>
    <xf numFmtId="4" fontId="10" fillId="2" borderId="41" xfId="0" applyNumberFormat="1" applyFont="1" applyFill="1" applyBorder="1" applyAlignment="1">
      <alignment horizontal="center" vertical="center"/>
    </xf>
    <xf numFmtId="4" fontId="23" fillId="2" borderId="41" xfId="0" applyNumberFormat="1" applyFont="1" applyFill="1" applyBorder="1" applyAlignment="1">
      <alignment horizontal="center" vertical="center"/>
    </xf>
    <xf numFmtId="4" fontId="23" fillId="2" borderId="42" xfId="0" applyNumberFormat="1" applyFont="1" applyFill="1" applyBorder="1" applyAlignment="1">
      <alignment horizontal="center" vertical="center"/>
    </xf>
    <xf numFmtId="4" fontId="10" fillId="2" borderId="33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45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vertical="center" wrapText="1"/>
    </xf>
    <xf numFmtId="3" fontId="10" fillId="2" borderId="41" xfId="0" applyNumberFormat="1" applyFont="1" applyFill="1" applyBorder="1" applyAlignment="1">
      <alignment horizontal="center" vertical="center" wrapText="1"/>
    </xf>
    <xf numFmtId="166" fontId="10" fillId="2" borderId="41" xfId="0" applyNumberFormat="1" applyFont="1" applyFill="1" applyBorder="1" applyAlignment="1">
      <alignment horizontal="center" vertical="center" wrapText="1"/>
    </xf>
    <xf numFmtId="166" fontId="10" fillId="2" borderId="41" xfId="3" applyNumberFormat="1" applyFont="1" applyFill="1" applyBorder="1" applyAlignment="1">
      <alignment horizontal="center" vertical="center" wrapText="1"/>
    </xf>
    <xf numFmtId="4" fontId="10" fillId="2" borderId="41" xfId="3" applyNumberFormat="1" applyFont="1" applyFill="1" applyBorder="1" applyAlignment="1">
      <alignment horizontal="center" vertical="center" wrapText="1"/>
    </xf>
    <xf numFmtId="2" fontId="10" fillId="2" borderId="41" xfId="0" applyNumberFormat="1" applyFont="1" applyFill="1" applyBorder="1"/>
    <xf numFmtId="2" fontId="5" fillId="2" borderId="3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vertical="center" wrapText="1"/>
    </xf>
    <xf numFmtId="166" fontId="5" fillId="2" borderId="22" xfId="0" applyNumberFormat="1" applyFont="1" applyFill="1" applyBorder="1" applyAlignment="1">
      <alignment horizontal="center" vertical="center" wrapText="1"/>
    </xf>
    <xf numFmtId="166" fontId="5" fillId="2" borderId="22" xfId="3" applyNumberFormat="1" applyFont="1" applyFill="1" applyBorder="1" applyAlignment="1">
      <alignment horizontal="center" vertical="center" wrapText="1"/>
    </xf>
    <xf numFmtId="4" fontId="5" fillId="2" borderId="22" xfId="3" applyNumberFormat="1" applyFont="1" applyFill="1" applyBorder="1" applyAlignment="1">
      <alignment horizontal="center" vertical="center" wrapText="1"/>
    </xf>
    <xf numFmtId="164" fontId="5" fillId="2" borderId="22" xfId="1" applyFont="1" applyFill="1" applyBorder="1" applyAlignment="1">
      <alignment vertical="center"/>
    </xf>
    <xf numFmtId="4" fontId="10" fillId="2" borderId="27" xfId="3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center" vertical="center" wrapText="1"/>
    </xf>
    <xf numFmtId="164" fontId="5" fillId="2" borderId="29" xfId="3" applyFont="1" applyFill="1" applyBorder="1" applyAlignment="1">
      <alignment horizontal="center" vertical="center" wrapText="1"/>
    </xf>
    <xf numFmtId="4" fontId="5" fillId="2" borderId="29" xfId="3" applyNumberFormat="1" applyFont="1" applyFill="1" applyBorder="1" applyAlignment="1">
      <alignment horizontal="center" vertical="center" wrapText="1"/>
    </xf>
    <xf numFmtId="164" fontId="5" fillId="2" borderId="29" xfId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/>
    <xf numFmtId="4" fontId="10" fillId="2" borderId="30" xfId="3" applyNumberFormat="1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right" vertical="center" wrapText="1"/>
    </xf>
    <xf numFmtId="166" fontId="19" fillId="2" borderId="22" xfId="0" applyNumberFormat="1" applyFont="1" applyFill="1" applyBorder="1" applyAlignment="1">
      <alignment horizontal="center" vertical="center" wrapText="1"/>
    </xf>
    <xf numFmtId="4" fontId="19" fillId="2" borderId="22" xfId="0" applyNumberFormat="1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right" vertical="center" wrapText="1"/>
    </xf>
    <xf numFmtId="3" fontId="10" fillId="2" borderId="29" xfId="0" applyNumberFormat="1" applyFont="1" applyFill="1" applyBorder="1" applyAlignment="1">
      <alignment horizontal="center" vertical="center" wrapText="1"/>
    </xf>
    <xf numFmtId="166" fontId="19" fillId="2" borderId="29" xfId="0" applyNumberFormat="1" applyFont="1" applyFill="1" applyBorder="1" applyAlignment="1">
      <alignment horizontal="center" vertical="center" wrapText="1"/>
    </xf>
    <xf numFmtId="4" fontId="19" fillId="2" borderId="29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31" fillId="2" borderId="0" xfId="0" applyFont="1" applyFill="1" applyBorder="1" applyAlignment="1">
      <alignment horizontal="center"/>
    </xf>
    <xf numFmtId="0" fontId="32" fillId="2" borderId="0" xfId="0" applyFont="1" applyFill="1" applyAlignment="1"/>
    <xf numFmtId="165" fontId="4" fillId="2" borderId="0" xfId="0" applyNumberFormat="1" applyFont="1" applyFill="1" applyAlignme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3" xfId="0" applyFont="1" applyFill="1" applyBorder="1" applyAlignment="1">
      <alignment vertical="top" wrapText="1"/>
    </xf>
    <xf numFmtId="0" fontId="3" fillId="2" borderId="3" xfId="0" applyFont="1" applyFill="1" applyBorder="1"/>
    <xf numFmtId="166" fontId="4" fillId="2" borderId="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164" fontId="4" fillId="2" borderId="1" xfId="1" applyFont="1" applyFill="1" applyBorder="1"/>
    <xf numFmtId="2" fontId="3" fillId="2" borderId="1" xfId="0" applyNumberFormat="1" applyFont="1" applyFill="1" applyBorder="1"/>
    <xf numFmtId="166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/>
    <xf numFmtId="0" fontId="4" fillId="2" borderId="5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6" fontId="4" fillId="2" borderId="5" xfId="3" applyNumberFormat="1" applyFont="1" applyFill="1" applyBorder="1" applyAlignment="1">
      <alignment horizontal="center" vertical="center" wrapText="1"/>
    </xf>
    <xf numFmtId="4" fontId="4" fillId="2" borderId="5" xfId="3" applyNumberFormat="1" applyFont="1" applyFill="1" applyBorder="1" applyAlignment="1">
      <alignment horizontal="center" vertical="center" wrapText="1"/>
    </xf>
    <xf numFmtId="164" fontId="4" fillId="2" borderId="5" xfId="1" applyFont="1" applyFill="1" applyBorder="1"/>
    <xf numFmtId="2" fontId="3" fillId="2" borderId="5" xfId="0" applyNumberFormat="1" applyFont="1" applyFill="1" applyBorder="1"/>
    <xf numFmtId="0" fontId="4" fillId="2" borderId="8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166" fontId="4" fillId="2" borderId="11" xfId="3" applyNumberFormat="1" applyFont="1" applyFill="1" applyBorder="1" applyAlignment="1">
      <alignment horizontal="center" vertical="center" wrapText="1"/>
    </xf>
    <xf numFmtId="4" fontId="4" fillId="2" borderId="11" xfId="3" applyNumberFormat="1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right" vertical="center" wrapText="1"/>
    </xf>
    <xf numFmtId="166" fontId="34" fillId="2" borderId="9" xfId="0" applyNumberFormat="1" applyFont="1" applyFill="1" applyBorder="1" applyAlignment="1">
      <alignment horizontal="center" vertical="center" wrapText="1"/>
    </xf>
    <xf numFmtId="4" fontId="34" fillId="2" borderId="9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4" fillId="2" borderId="8" xfId="0" applyFont="1" applyFill="1" applyBorder="1" applyAlignment="1">
      <alignment vertical="center" wrapText="1"/>
    </xf>
    <xf numFmtId="3" fontId="34" fillId="2" borderId="9" xfId="0" applyNumberFormat="1" applyFont="1" applyFill="1" applyBorder="1" applyAlignment="1">
      <alignment horizontal="center" vertical="center" wrapText="1"/>
    </xf>
    <xf numFmtId="4" fontId="34" fillId="2" borderId="10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/>
    <xf numFmtId="164" fontId="4" fillId="2" borderId="11" xfId="1" applyNumberFormat="1" applyFont="1" applyFill="1" applyBorder="1"/>
    <xf numFmtId="166" fontId="4" fillId="2" borderId="3" xfId="0" applyNumberFormat="1" applyFont="1" applyFill="1" applyBorder="1" applyAlignment="1">
      <alignment horizontal="center" vertical="center" wrapText="1"/>
    </xf>
    <xf numFmtId="166" fontId="4" fillId="2" borderId="3" xfId="3" applyNumberFormat="1" applyFont="1" applyFill="1" applyBorder="1" applyAlignment="1">
      <alignment horizontal="center" vertical="center" wrapText="1"/>
    </xf>
    <xf numFmtId="164" fontId="4" fillId="2" borderId="11" xfId="3" applyFont="1" applyFill="1" applyBorder="1" applyAlignment="1">
      <alignment horizontal="center" vertical="center" wrapText="1"/>
    </xf>
    <xf numFmtId="4" fontId="4" fillId="2" borderId="3" xfId="3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/>
    <xf numFmtId="164" fontId="4" fillId="2" borderId="1" xfId="3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5" xfId="3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vertical="top" wrapText="1"/>
    </xf>
    <xf numFmtId="0" fontId="35" fillId="2" borderId="0" xfId="0" applyFont="1" applyFill="1"/>
    <xf numFmtId="0" fontId="4" fillId="2" borderId="15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/>
    <xf numFmtId="0" fontId="4" fillId="2" borderId="5" xfId="0" applyFont="1" applyFill="1" applyBorder="1" applyAlignment="1">
      <alignment horizontal="center" vertical="center" wrapText="1"/>
    </xf>
    <xf numFmtId="4" fontId="34" fillId="2" borderId="9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/>
    <xf numFmtId="0" fontId="31" fillId="2" borderId="3" xfId="0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center" vertical="center"/>
    </xf>
    <xf numFmtId="4" fontId="31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64" fontId="4" fillId="2" borderId="0" xfId="3" applyFont="1" applyFill="1"/>
    <xf numFmtId="4" fontId="4" fillId="2" borderId="0" xfId="0" applyNumberFormat="1" applyFont="1" applyFill="1"/>
    <xf numFmtId="2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164" fontId="3" fillId="2" borderId="0" xfId="1" applyFont="1" applyFill="1"/>
    <xf numFmtId="0" fontId="4" fillId="2" borderId="6" xfId="0" applyFont="1" applyFill="1" applyBorder="1" applyAlignment="1">
      <alignment vertical="top" wrapText="1"/>
    </xf>
    <xf numFmtId="164" fontId="3" fillId="2" borderId="1" xfId="1" applyFont="1" applyFill="1" applyBorder="1"/>
    <xf numFmtId="166" fontId="4" fillId="2" borderId="1" xfId="3" applyNumberFormat="1" applyFont="1" applyFill="1" applyBorder="1" applyAlignment="1">
      <alignment horizontal="center" wrapText="1"/>
    </xf>
    <xf numFmtId="4" fontId="4" fillId="2" borderId="1" xfId="3" applyNumberFormat="1" applyFont="1" applyFill="1" applyBorder="1" applyAlignment="1">
      <alignment horizontal="center" wrapText="1"/>
    </xf>
    <xf numFmtId="164" fontId="4" fillId="2" borderId="1" xfId="1" applyFont="1" applyFill="1" applyBorder="1" applyAlignment="1"/>
    <xf numFmtId="4" fontId="4" fillId="2" borderId="5" xfId="0" applyNumberFormat="1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/>
    <xf numFmtId="0" fontId="34" fillId="2" borderId="0" xfId="0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34" fillId="2" borderId="1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0" fontId="34" fillId="2" borderId="2" xfId="0" applyFont="1" applyFill="1" applyBorder="1" applyAlignment="1">
      <alignment vertical="top" wrapText="1"/>
    </xf>
    <xf numFmtId="166" fontId="4" fillId="2" borderId="48" xfId="0" applyNumberFormat="1" applyFont="1" applyFill="1" applyBorder="1" applyAlignment="1">
      <alignment horizontal="center" vertical="center" wrapText="1"/>
    </xf>
    <xf numFmtId="166" fontId="4" fillId="2" borderId="8" xfId="3" applyNumberFormat="1" applyFont="1" applyFill="1" applyBorder="1" applyAlignment="1">
      <alignment horizontal="center" vertical="center" wrapText="1"/>
    </xf>
    <xf numFmtId="164" fontId="4" fillId="2" borderId="9" xfId="3" applyFont="1" applyFill="1" applyBorder="1" applyAlignment="1">
      <alignment horizontal="center" vertical="center" wrapText="1"/>
    </xf>
    <xf numFmtId="4" fontId="4" fillId="2" borderId="9" xfId="3" applyNumberFormat="1" applyFont="1" applyFill="1" applyBorder="1" applyAlignment="1">
      <alignment horizontal="center" vertical="center" wrapText="1"/>
    </xf>
    <xf numFmtId="4" fontId="4" fillId="2" borderId="10" xfId="3" applyNumberFormat="1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right" vertical="center" wrapText="1"/>
    </xf>
    <xf numFmtId="4" fontId="4" fillId="2" borderId="11" xfId="3" applyNumberFormat="1" applyFont="1" applyFill="1" applyBorder="1" applyAlignment="1">
      <alignment horizontal="center" wrapText="1"/>
    </xf>
    <xf numFmtId="166" fontId="4" fillId="2" borderId="5" xfId="3" applyNumberFormat="1" applyFont="1" applyFill="1" applyBorder="1" applyAlignment="1">
      <alignment horizontal="center" wrapText="1"/>
    </xf>
    <xf numFmtId="164" fontId="4" fillId="2" borderId="1" xfId="3" applyFont="1" applyFill="1" applyBorder="1" applyAlignment="1">
      <alignment horizontal="center" wrapText="1"/>
    </xf>
    <xf numFmtId="164" fontId="4" fillId="2" borderId="5" xfId="1" applyFont="1" applyFill="1" applyBorder="1" applyAlignment="1"/>
    <xf numFmtId="0" fontId="4" fillId="2" borderId="0" xfId="2" applyFont="1" applyFill="1"/>
    <xf numFmtId="49" fontId="4" fillId="2" borderId="1" xfId="2" applyNumberFormat="1" applyFont="1" applyFill="1" applyBorder="1" applyAlignment="1">
      <alignment horizontal="center"/>
    </xf>
    <xf numFmtId="0" fontId="32" fillId="4" borderId="0" xfId="0" applyFont="1" applyFill="1" applyAlignment="1"/>
    <xf numFmtId="4" fontId="4" fillId="2" borderId="0" xfId="0" applyNumberFormat="1" applyFont="1" applyFill="1" applyAlignment="1"/>
    <xf numFmtId="4" fontId="4" fillId="2" borderId="3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4" fontId="34" fillId="2" borderId="41" xfId="0" applyNumberFormat="1" applyFont="1" applyFill="1" applyBorder="1" applyAlignment="1">
      <alignment horizontal="center" vertical="center" wrapText="1"/>
    </xf>
    <xf numFmtId="4" fontId="34" fillId="2" borderId="10" xfId="0" applyNumberFormat="1" applyFont="1" applyFill="1" applyBorder="1" applyAlignment="1">
      <alignment horizontal="center" vertical="center"/>
    </xf>
    <xf numFmtId="0" fontId="35" fillId="2" borderId="8" xfId="0" applyFont="1" applyFill="1" applyBorder="1"/>
    <xf numFmtId="0" fontId="35" fillId="2" borderId="9" xfId="0" applyFont="1" applyFill="1" applyBorder="1"/>
    <xf numFmtId="4" fontId="35" fillId="2" borderId="9" xfId="0" applyNumberFormat="1" applyFont="1" applyFill="1" applyBorder="1"/>
    <xf numFmtId="0" fontId="4" fillId="2" borderId="8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0" xfId="0" applyFont="1" applyFill="1" applyBorder="1" applyAlignment="1"/>
    <xf numFmtId="0" fontId="34" fillId="2" borderId="4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166" fontId="34" fillId="2" borderId="10" xfId="0" applyNumberFormat="1" applyFont="1" applyFill="1" applyBorder="1" applyAlignment="1">
      <alignment horizontal="center" vertical="center" wrapText="1"/>
    </xf>
    <xf numFmtId="4" fontId="19" fillId="2" borderId="42" xfId="0" applyNumberFormat="1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right" vertical="center" wrapText="1"/>
    </xf>
    <xf numFmtId="4" fontId="19" fillId="2" borderId="41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164" fontId="10" fillId="2" borderId="4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wrapText="1"/>
    </xf>
    <xf numFmtId="164" fontId="5" fillId="2" borderId="1" xfId="1" applyFont="1" applyFill="1" applyBorder="1" applyAlignment="1"/>
    <xf numFmtId="168" fontId="4" fillId="2" borderId="9" xfId="0" applyNumberFormat="1" applyFont="1" applyFill="1" applyBorder="1"/>
    <xf numFmtId="168" fontId="35" fillId="2" borderId="9" xfId="0" applyNumberFormat="1" applyFont="1" applyFill="1" applyBorder="1"/>
    <xf numFmtId="168" fontId="3" fillId="2" borderId="0" xfId="0" applyNumberFormat="1" applyFont="1" applyFill="1"/>
    <xf numFmtId="164" fontId="3" fillId="2" borderId="0" xfId="0" quotePrefix="1" applyNumberFormat="1" applyFont="1" applyFill="1"/>
    <xf numFmtId="169" fontId="3" fillId="2" borderId="0" xfId="1" applyNumberFormat="1" applyFont="1" applyFill="1"/>
    <xf numFmtId="166" fontId="5" fillId="2" borderId="3" xfId="0" applyNumberFormat="1" applyFont="1" applyFill="1" applyBorder="1" applyAlignment="1">
      <alignment wrapText="1"/>
    </xf>
    <xf numFmtId="164" fontId="5" fillId="2" borderId="3" xfId="1" applyFont="1" applyFill="1" applyBorder="1" applyAlignment="1"/>
    <xf numFmtId="4" fontId="5" fillId="2" borderId="20" xfId="3" applyNumberFormat="1" applyFont="1" applyFill="1" applyBorder="1" applyAlignment="1">
      <alignment wrapText="1"/>
    </xf>
    <xf numFmtId="166" fontId="5" fillId="2" borderId="1" xfId="0" applyNumberFormat="1" applyFont="1" applyFill="1" applyBorder="1" applyAlignment="1">
      <alignment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3" fontId="10" fillId="2" borderId="2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/>
    <xf numFmtId="0" fontId="34" fillId="2" borderId="9" xfId="0" applyFont="1" applyFill="1" applyBorder="1" applyAlignment="1">
      <alignment horizontal="right" vertical="center" wrapText="1"/>
    </xf>
    <xf numFmtId="170" fontId="3" fillId="2" borderId="0" xfId="1" applyNumberFormat="1" applyFont="1" applyFill="1"/>
    <xf numFmtId="171" fontId="3" fillId="2" borderId="0" xfId="0" applyNumberFormat="1" applyFont="1" applyFill="1"/>
    <xf numFmtId="0" fontId="5" fillId="2" borderId="0" xfId="2" applyFont="1" applyFill="1"/>
    <xf numFmtId="0" fontId="7" fillId="2" borderId="0" xfId="0" applyFont="1" applyFill="1"/>
    <xf numFmtId="0" fontId="26" fillId="2" borderId="0" xfId="0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164" fontId="5" fillId="2" borderId="1" xfId="1" applyFont="1" applyFill="1" applyBorder="1" applyAlignment="1">
      <alignment horizontal="right"/>
    </xf>
    <xf numFmtId="0" fontId="5" fillId="2" borderId="23" xfId="0" applyFont="1" applyFill="1" applyBorder="1" applyAlignment="1">
      <alignment wrapText="1"/>
    </xf>
    <xf numFmtId="4" fontId="5" fillId="2" borderId="5" xfId="0" applyNumberFormat="1" applyFont="1" applyFill="1" applyBorder="1" applyAlignment="1">
      <alignment wrapText="1"/>
    </xf>
    <xf numFmtId="166" fontId="5" fillId="2" borderId="5" xfId="3" applyNumberFormat="1" applyFont="1" applyFill="1" applyBorder="1" applyAlignment="1">
      <alignment wrapText="1"/>
    </xf>
    <xf numFmtId="164" fontId="5" fillId="2" borderId="19" xfId="1" applyFont="1" applyFill="1" applyBorder="1" applyAlignment="1">
      <alignment horizontal="right"/>
    </xf>
    <xf numFmtId="4" fontId="9" fillId="2" borderId="5" xfId="0" applyNumberFormat="1" applyFont="1" applyFill="1" applyBorder="1" applyAlignment="1"/>
    <xf numFmtId="167" fontId="9" fillId="2" borderId="5" xfId="0" applyNumberFormat="1" applyFont="1" applyFill="1" applyBorder="1" applyAlignment="1"/>
    <xf numFmtId="164" fontId="5" fillId="2" borderId="3" xfId="1" applyFont="1" applyFill="1" applyBorder="1" applyAlignment="1">
      <alignment horizontal="right"/>
    </xf>
    <xf numFmtId="0" fontId="37" fillId="2" borderId="0" xfId="0" applyFont="1" applyFill="1" applyBorder="1" applyAlignment="1">
      <alignment horizontal="left"/>
    </xf>
    <xf numFmtId="0" fontId="34" fillId="2" borderId="0" xfId="0" applyFont="1" applyFill="1" applyAlignment="1">
      <alignment horizontal="left"/>
    </xf>
    <xf numFmtId="164" fontId="4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168" fontId="34" fillId="2" borderId="9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49" fontId="5" fillId="2" borderId="5" xfId="3" applyNumberFormat="1" applyFont="1" applyFill="1" applyBorder="1" applyAlignment="1">
      <alignment wrapText="1"/>
    </xf>
    <xf numFmtId="0" fontId="40" fillId="2" borderId="0" xfId="2" applyFont="1" applyFill="1"/>
    <xf numFmtId="0" fontId="42" fillId="2" borderId="0" xfId="0" applyFont="1" applyFill="1"/>
    <xf numFmtId="49" fontId="40" fillId="2" borderId="1" xfId="2" applyNumberFormat="1" applyFont="1" applyFill="1" applyBorder="1" applyAlignment="1">
      <alignment horizontal="center"/>
    </xf>
    <xf numFmtId="0" fontId="40" fillId="2" borderId="23" xfId="0" applyFont="1" applyFill="1" applyBorder="1" applyAlignment="1">
      <alignment vertical="center" wrapText="1"/>
    </xf>
    <xf numFmtId="3" fontId="40" fillId="2" borderId="1" xfId="0" applyNumberFormat="1" applyFont="1" applyFill="1" applyBorder="1" applyAlignment="1">
      <alignment horizontal="center" vertical="center" wrapText="1"/>
    </xf>
    <xf numFmtId="3" fontId="40" fillId="2" borderId="3" xfId="0" applyNumberFormat="1" applyFont="1" applyFill="1" applyBorder="1" applyAlignment="1">
      <alignment horizontal="center" vertical="center" wrapText="1"/>
    </xf>
    <xf numFmtId="164" fontId="40" fillId="2" borderId="1" xfId="1" applyFont="1" applyFill="1" applyBorder="1" applyAlignment="1">
      <alignment horizontal="right"/>
    </xf>
    <xf numFmtId="164" fontId="40" fillId="2" borderId="3" xfId="1" applyFont="1" applyFill="1" applyBorder="1" applyAlignment="1">
      <alignment horizontal="center" vertical="center" wrapText="1"/>
    </xf>
    <xf numFmtId="164" fontId="40" fillId="2" borderId="1" xfId="1" applyFont="1" applyFill="1" applyBorder="1"/>
    <xf numFmtId="4" fontId="40" fillId="2" borderId="20" xfId="3" applyNumberFormat="1" applyFont="1" applyFill="1" applyBorder="1" applyAlignment="1">
      <alignment horizontal="center" vertical="center" wrapText="1"/>
    </xf>
    <xf numFmtId="166" fontId="40" fillId="2" borderId="1" xfId="0" applyNumberFormat="1" applyFont="1" applyFill="1" applyBorder="1" applyAlignment="1">
      <alignment horizontal="center" vertical="center" wrapText="1"/>
    </xf>
    <xf numFmtId="166" fontId="40" fillId="2" borderId="1" xfId="3" applyNumberFormat="1" applyFont="1" applyFill="1" applyBorder="1" applyAlignment="1">
      <alignment horizontal="center" vertical="center" wrapText="1"/>
    </xf>
    <xf numFmtId="4" fontId="40" fillId="2" borderId="1" xfId="3" applyNumberFormat="1" applyFont="1" applyFill="1" applyBorder="1" applyAlignment="1">
      <alignment horizontal="center" vertical="center" wrapText="1"/>
    </xf>
    <xf numFmtId="4" fontId="40" fillId="2" borderId="11" xfId="3" applyNumberFormat="1" applyFont="1" applyFill="1" applyBorder="1" applyAlignment="1">
      <alignment horizontal="center" vertical="center" wrapText="1"/>
    </xf>
    <xf numFmtId="164" fontId="40" fillId="2" borderId="1" xfId="1" applyFont="1" applyFill="1" applyBorder="1" applyAlignment="1"/>
    <xf numFmtId="166" fontId="40" fillId="2" borderId="1" xfId="0" applyNumberFormat="1" applyFont="1" applyFill="1" applyBorder="1" applyAlignment="1">
      <alignment wrapText="1"/>
    </xf>
    <xf numFmtId="4" fontId="34" fillId="2" borderId="3" xfId="0" applyNumberFormat="1" applyFont="1" applyFill="1" applyBorder="1" applyAlignment="1">
      <alignment horizontal="center" vertical="center" wrapText="1"/>
    </xf>
    <xf numFmtId="166" fontId="40" fillId="2" borderId="3" xfId="0" applyNumberFormat="1" applyFont="1" applyFill="1" applyBorder="1" applyAlignment="1">
      <alignment horizontal="center" vertical="center" wrapText="1"/>
    </xf>
    <xf numFmtId="166" fontId="40" fillId="2" borderId="3" xfId="3" applyNumberFormat="1" applyFont="1" applyFill="1" applyBorder="1" applyAlignment="1">
      <alignment horizontal="center" vertical="center" wrapText="1"/>
    </xf>
    <xf numFmtId="164" fontId="40" fillId="2" borderId="11" xfId="3" applyFont="1" applyFill="1" applyBorder="1" applyAlignment="1">
      <alignment horizontal="center" vertical="center" wrapText="1"/>
    </xf>
    <xf numFmtId="4" fontId="40" fillId="2" borderId="3" xfId="3" applyNumberFormat="1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vertical="center" wrapText="1"/>
    </xf>
    <xf numFmtId="166" fontId="40" fillId="2" borderId="5" xfId="0" applyNumberFormat="1" applyFont="1" applyFill="1" applyBorder="1" applyAlignment="1">
      <alignment horizontal="center" vertical="center" wrapText="1"/>
    </xf>
    <xf numFmtId="166" fontId="40" fillId="2" borderId="5" xfId="3" applyNumberFormat="1" applyFont="1" applyFill="1" applyBorder="1" applyAlignment="1">
      <alignment horizontal="center" vertical="center" wrapText="1"/>
    </xf>
    <xf numFmtId="164" fontId="40" fillId="2" borderId="5" xfId="1" applyFont="1" applyFill="1" applyBorder="1"/>
    <xf numFmtId="3" fontId="40" fillId="2" borderId="5" xfId="0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 wrapText="1"/>
    </xf>
    <xf numFmtId="4" fontId="40" fillId="2" borderId="5" xfId="0" applyNumberFormat="1" applyFont="1" applyFill="1" applyBorder="1" applyAlignment="1">
      <alignment horizontal="center" vertical="center" wrapText="1"/>
    </xf>
    <xf numFmtId="4" fontId="40" fillId="2" borderId="5" xfId="3" applyNumberFormat="1" applyFont="1" applyFill="1" applyBorder="1" applyAlignment="1">
      <alignment horizontal="center" vertical="center" wrapText="1"/>
    </xf>
    <xf numFmtId="164" fontId="40" fillId="2" borderId="1" xfId="1" applyFont="1" applyFill="1" applyBorder="1" applyAlignment="1">
      <alignment vertical="center"/>
    </xf>
    <xf numFmtId="4" fontId="40" fillId="2" borderId="5" xfId="0" applyNumberFormat="1" applyFont="1" applyFill="1" applyBorder="1" applyAlignment="1">
      <alignment horizontal="center" vertical="center"/>
    </xf>
    <xf numFmtId="166" fontId="40" fillId="2" borderId="1" xfId="3" applyNumberFormat="1" applyFont="1" applyFill="1" applyBorder="1" applyAlignment="1">
      <alignment horizontal="center" vertical="center"/>
    </xf>
    <xf numFmtId="164" fontId="40" fillId="2" borderId="1" xfId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wrapText="1"/>
    </xf>
    <xf numFmtId="164" fontId="40" fillId="2" borderId="3" xfId="3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164" fontId="40" fillId="2" borderId="1" xfId="1" applyFont="1" applyFill="1" applyBorder="1" applyAlignment="1">
      <alignment horizontal="right" vertical="center"/>
    </xf>
    <xf numFmtId="0" fontId="40" fillId="2" borderId="45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1" applyFont="1" applyBorder="1"/>
    <xf numFmtId="164" fontId="0" fillId="0" borderId="0" xfId="0" applyNumberFormat="1"/>
    <xf numFmtId="164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45" fillId="2" borderId="1" xfId="0" applyFont="1" applyFill="1" applyBorder="1" applyAlignment="1"/>
    <xf numFmtId="164" fontId="4" fillId="2" borderId="1" xfId="1" applyFont="1" applyFill="1" applyBorder="1" applyAlignment="1">
      <alignment vertical="center" wrapText="1"/>
    </xf>
    <xf numFmtId="164" fontId="4" fillId="2" borderId="5" xfId="1" applyFont="1" applyFill="1" applyBorder="1" applyAlignment="1">
      <alignment vertical="center" wrapText="1"/>
    </xf>
    <xf numFmtId="164" fontId="4" fillId="2" borderId="1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vertical="center" wrapText="1"/>
    </xf>
    <xf numFmtId="164" fontId="3" fillId="2" borderId="5" xfId="1" applyFont="1" applyFill="1" applyBorder="1" applyAlignment="1">
      <alignment vertical="center"/>
    </xf>
    <xf numFmtId="166" fontId="34" fillId="2" borderId="3" xfId="0" applyNumberFormat="1" applyFont="1" applyFill="1" applyBorder="1" applyAlignment="1">
      <alignment horizontal="center" vertical="center" wrapText="1"/>
    </xf>
    <xf numFmtId="166" fontId="34" fillId="2" borderId="1" xfId="0" applyNumberFormat="1" applyFont="1" applyFill="1" applyBorder="1" applyAlignment="1">
      <alignment horizontal="center" vertical="center" wrapText="1"/>
    </xf>
    <xf numFmtId="4" fontId="34" fillId="2" borderId="1" xfId="0" applyNumberFormat="1" applyFont="1" applyFill="1" applyBorder="1" applyAlignment="1">
      <alignment horizontal="center" vertical="center" wrapText="1"/>
    </xf>
    <xf numFmtId="169" fontId="34" fillId="2" borderId="9" xfId="1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/>
    <xf numFmtId="0" fontId="40" fillId="2" borderId="0" xfId="0" applyFont="1" applyFill="1" applyAlignment="1"/>
    <xf numFmtId="0" fontId="47" fillId="2" borderId="0" xfId="0" applyFont="1" applyFill="1" applyBorder="1" applyAlignment="1">
      <alignment horizontal="center"/>
    </xf>
    <xf numFmtId="0" fontId="48" fillId="2" borderId="0" xfId="0" applyFont="1" applyFill="1" applyAlignment="1"/>
    <xf numFmtId="165" fontId="40" fillId="2" borderId="0" xfId="0" applyNumberFormat="1" applyFont="1" applyFill="1" applyAlignment="1"/>
    <xf numFmtId="0" fontId="40" fillId="2" borderId="1" xfId="0" applyFont="1" applyFill="1" applyBorder="1" applyAlignment="1">
      <alignment horizontal="right"/>
    </xf>
    <xf numFmtId="0" fontId="40" fillId="2" borderId="1" xfId="0" applyFont="1" applyFill="1" applyBorder="1" applyAlignment="1"/>
    <xf numFmtId="4" fontId="40" fillId="2" borderId="0" xfId="0" applyNumberFormat="1" applyFont="1" applyFill="1" applyAlignment="1"/>
    <xf numFmtId="0" fontId="42" fillId="2" borderId="1" xfId="0" applyFont="1" applyFill="1" applyBorder="1" applyAlignment="1">
      <alignment horizontal="right"/>
    </xf>
    <xf numFmtId="0" fontId="42" fillId="2" borderId="1" xfId="0" applyFont="1" applyFill="1" applyBorder="1"/>
    <xf numFmtId="0" fontId="49" fillId="2" borderId="0" xfId="0" applyFont="1" applyFill="1"/>
    <xf numFmtId="0" fontId="40" fillId="2" borderId="0" xfId="0" applyFont="1" applyFill="1" applyAlignment="1">
      <alignment horizontal="right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vertical="top" wrapText="1"/>
    </xf>
    <xf numFmtId="164" fontId="40" fillId="2" borderId="1" xfId="1" applyFont="1" applyFill="1" applyBorder="1" applyAlignment="1">
      <alignment vertical="center" wrapText="1"/>
    </xf>
    <xf numFmtId="164" fontId="40" fillId="2" borderId="5" xfId="1" applyFont="1" applyFill="1" applyBorder="1" applyAlignment="1">
      <alignment vertical="center" wrapText="1"/>
    </xf>
    <xf numFmtId="164" fontId="42" fillId="2" borderId="0" xfId="0" applyNumberFormat="1" applyFont="1" applyFill="1"/>
    <xf numFmtId="0" fontId="40" fillId="2" borderId="8" xfId="0" applyFont="1" applyFill="1" applyBorder="1" applyAlignment="1">
      <alignment vertical="center" wrapText="1"/>
    </xf>
    <xf numFmtId="3" fontId="40" fillId="2" borderId="9" xfId="0" applyNumberFormat="1" applyFont="1" applyFill="1" applyBorder="1" applyAlignment="1">
      <alignment horizontal="center" vertical="center" wrapText="1"/>
    </xf>
    <xf numFmtId="4" fontId="40" fillId="2" borderId="9" xfId="0" applyNumberFormat="1" applyFont="1" applyFill="1" applyBorder="1" applyAlignment="1">
      <alignment horizontal="center" vertical="center" wrapText="1"/>
    </xf>
    <xf numFmtId="4" fontId="40" fillId="2" borderId="3" xfId="0" applyNumberFormat="1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right" vertical="center" wrapText="1"/>
    </xf>
    <xf numFmtId="4" fontId="42" fillId="2" borderId="0" xfId="0" applyNumberFormat="1" applyFont="1" applyFill="1"/>
    <xf numFmtId="0" fontId="47" fillId="2" borderId="8" xfId="0" applyFont="1" applyFill="1" applyBorder="1" applyAlignment="1">
      <alignment vertical="center" wrapText="1"/>
    </xf>
    <xf numFmtId="4" fontId="47" fillId="2" borderId="9" xfId="0" applyNumberFormat="1" applyFont="1" applyFill="1" applyBorder="1" applyAlignment="1">
      <alignment horizontal="center" vertical="center" wrapText="1"/>
    </xf>
    <xf numFmtId="4" fontId="47" fillId="2" borderId="10" xfId="0" applyNumberFormat="1" applyFont="1" applyFill="1" applyBorder="1" applyAlignment="1">
      <alignment horizontal="center" vertical="center" wrapText="1"/>
    </xf>
    <xf numFmtId="167" fontId="40" fillId="2" borderId="0" xfId="0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4" fontId="40" fillId="2" borderId="1" xfId="3" applyNumberFormat="1" applyFont="1" applyFill="1" applyBorder="1" applyAlignment="1">
      <alignment horizontal="center" wrapText="1"/>
    </xf>
    <xf numFmtId="4" fontId="40" fillId="2" borderId="1" xfId="0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>
      <alignment horizontal="center" vertical="center"/>
    </xf>
    <xf numFmtId="2" fontId="40" fillId="2" borderId="1" xfId="0" applyNumberFormat="1" applyFont="1" applyFill="1" applyBorder="1" applyAlignment="1"/>
    <xf numFmtId="0" fontId="40" fillId="2" borderId="15" xfId="0" applyFont="1" applyFill="1" applyBorder="1" applyAlignment="1">
      <alignment vertical="top" wrapText="1"/>
    </xf>
    <xf numFmtId="0" fontId="40" fillId="2" borderId="9" xfId="0" applyFont="1" applyFill="1" applyBorder="1" applyAlignment="1">
      <alignment horizontal="center" vertical="center" wrapText="1"/>
    </xf>
    <xf numFmtId="4" fontId="40" fillId="2" borderId="9" xfId="0" applyNumberFormat="1" applyFont="1" applyFill="1" applyBorder="1"/>
    <xf numFmtId="4" fontId="40" fillId="2" borderId="10" xfId="0" applyNumberFormat="1" applyFont="1" applyFill="1" applyBorder="1"/>
    <xf numFmtId="164" fontId="42" fillId="2" borderId="0" xfId="1" applyFont="1" applyFill="1"/>
    <xf numFmtId="0" fontId="40" fillId="2" borderId="6" xfId="0" applyFont="1" applyFill="1" applyBorder="1" applyAlignment="1">
      <alignment vertical="top" wrapText="1"/>
    </xf>
    <xf numFmtId="0" fontId="40" fillId="2" borderId="3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40" fillId="2" borderId="3" xfId="0" applyNumberFormat="1" applyFont="1" applyFill="1" applyBorder="1"/>
    <xf numFmtId="4" fontId="40" fillId="2" borderId="11" xfId="0" applyNumberFormat="1" applyFont="1" applyFill="1" applyBorder="1"/>
    <xf numFmtId="0" fontId="47" fillId="2" borderId="5" xfId="0" applyFont="1" applyFill="1" applyBorder="1" applyAlignment="1">
      <alignment horizontal="right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5" xfId="0" applyFont="1" applyFill="1" applyBorder="1"/>
    <xf numFmtId="164" fontId="40" fillId="2" borderId="5" xfId="1" applyFont="1" applyFill="1" applyBorder="1" applyAlignment="1">
      <alignment vertical="center"/>
    </xf>
    <xf numFmtId="0" fontId="40" fillId="2" borderId="8" xfId="0" applyFont="1" applyFill="1" applyBorder="1" applyAlignment="1">
      <alignment vertical="top" wrapText="1"/>
    </xf>
    <xf numFmtId="0" fontId="47" fillId="2" borderId="15" xfId="0" applyFont="1" applyFill="1" applyBorder="1" applyAlignment="1">
      <alignment horizontal="right" vertical="center" wrapText="1"/>
    </xf>
    <xf numFmtId="4" fontId="47" fillId="2" borderId="9" xfId="0" applyNumberFormat="1" applyFont="1" applyFill="1" applyBorder="1" applyAlignment="1">
      <alignment horizontal="center" vertical="center"/>
    </xf>
    <xf numFmtId="4" fontId="47" fillId="2" borderId="10" xfId="0" applyNumberFormat="1" applyFont="1" applyFill="1" applyBorder="1" applyAlignment="1">
      <alignment horizontal="center" vertical="center"/>
    </xf>
    <xf numFmtId="164" fontId="40" fillId="2" borderId="3" xfId="1" applyFont="1" applyFill="1" applyBorder="1" applyAlignment="1">
      <alignment horizontal="center" wrapText="1"/>
    </xf>
    <xf numFmtId="164" fontId="40" fillId="2" borderId="3" xfId="1" applyFont="1" applyFill="1" applyBorder="1" applyAlignment="1">
      <alignment horizontal="center"/>
    </xf>
    <xf numFmtId="166" fontId="40" fillId="2" borderId="1" xfId="3" applyNumberFormat="1" applyFont="1" applyFill="1" applyBorder="1" applyAlignment="1">
      <alignment horizontal="center" wrapText="1"/>
    </xf>
    <xf numFmtId="164" fontId="40" fillId="2" borderId="1" xfId="1" applyFont="1" applyFill="1" applyBorder="1" applyAlignment="1">
      <alignment horizontal="center" wrapText="1"/>
    </xf>
    <xf numFmtId="164" fontId="40" fillId="2" borderId="1" xfId="1" applyFont="1" applyFill="1" applyBorder="1" applyAlignment="1">
      <alignment horizontal="center"/>
    </xf>
    <xf numFmtId="164" fontId="40" fillId="2" borderId="1" xfId="1" applyFont="1" applyFill="1" applyBorder="1" applyAlignment="1">
      <alignment horizontal="center" vertical="center"/>
    </xf>
    <xf numFmtId="166" fontId="42" fillId="2" borderId="1" xfId="0" applyNumberFormat="1" applyFont="1" applyFill="1" applyBorder="1" applyAlignment="1">
      <alignment horizontal="center" vertical="center" wrapText="1"/>
    </xf>
    <xf numFmtId="166" fontId="42" fillId="2" borderId="1" xfId="3" applyNumberFormat="1" applyFont="1" applyFill="1" applyBorder="1" applyAlignment="1">
      <alignment horizontal="right" vertical="center" wrapText="1"/>
    </xf>
    <xf numFmtId="164" fontId="42" fillId="2" borderId="3" xfId="3" applyFont="1" applyFill="1" applyBorder="1" applyAlignment="1">
      <alignment horizontal="center" vertical="center" wrapText="1"/>
    </xf>
    <xf numFmtId="164" fontId="42" fillId="2" borderId="1" xfId="1" applyFont="1" applyFill="1" applyBorder="1" applyAlignment="1">
      <alignment vertical="center"/>
    </xf>
    <xf numFmtId="166" fontId="40" fillId="2" borderId="5" xfId="0" applyNumberFormat="1" applyFont="1" applyFill="1" applyBorder="1" applyAlignment="1">
      <alignment horizontal="right" vertical="center" wrapText="1"/>
    </xf>
    <xf numFmtId="164" fontId="42" fillId="2" borderId="5" xfId="1" applyFont="1" applyFill="1" applyBorder="1" applyAlignment="1">
      <alignment vertical="center"/>
    </xf>
    <xf numFmtId="0" fontId="47" fillId="2" borderId="8" xfId="0" applyFont="1" applyFill="1" applyBorder="1" applyAlignment="1">
      <alignment horizontal="right" vertical="center" wrapText="1"/>
    </xf>
    <xf numFmtId="166" fontId="47" fillId="2" borderId="9" xfId="0" applyNumberFormat="1" applyFont="1" applyFill="1" applyBorder="1" applyAlignment="1">
      <alignment horizontal="center" vertical="center" wrapText="1"/>
    </xf>
    <xf numFmtId="166" fontId="47" fillId="2" borderId="10" xfId="0" applyNumberFormat="1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horizontal="right" vertical="center" wrapText="1"/>
    </xf>
    <xf numFmtId="166" fontId="47" fillId="2" borderId="3" xfId="0" applyNumberFormat="1" applyFont="1" applyFill="1" applyBorder="1" applyAlignment="1">
      <alignment horizontal="center" vertical="center" wrapText="1"/>
    </xf>
    <xf numFmtId="4" fontId="47" fillId="2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right" vertical="center" wrapText="1"/>
    </xf>
    <xf numFmtId="166" fontId="47" fillId="2" borderId="1" xfId="0" applyNumberFormat="1" applyFont="1" applyFill="1" applyBorder="1" applyAlignment="1">
      <alignment horizontal="center" vertical="center" wrapText="1"/>
    </xf>
    <xf numFmtId="4" fontId="47" fillId="2" borderId="1" xfId="0" applyNumberFormat="1" applyFont="1" applyFill="1" applyBorder="1" applyAlignment="1">
      <alignment horizontal="center" vertical="center" wrapText="1"/>
    </xf>
    <xf numFmtId="166" fontId="47" fillId="2" borderId="5" xfId="0" applyNumberFormat="1" applyFont="1" applyFill="1" applyBorder="1" applyAlignment="1">
      <alignment horizontal="center" vertical="center" wrapText="1"/>
    </xf>
    <xf numFmtId="4" fontId="47" fillId="2" borderId="5" xfId="0" applyNumberFormat="1" applyFont="1" applyFill="1" applyBorder="1" applyAlignment="1">
      <alignment horizontal="center" vertical="center" wrapText="1"/>
    </xf>
    <xf numFmtId="0" fontId="40" fillId="2" borderId="39" xfId="0" applyFont="1" applyFill="1" applyBorder="1" applyAlignment="1"/>
    <xf numFmtId="0" fontId="50" fillId="2" borderId="8" xfId="0" applyFont="1" applyFill="1" applyBorder="1"/>
    <xf numFmtId="0" fontId="50" fillId="2" borderId="9" xfId="0" applyFont="1" applyFill="1" applyBorder="1"/>
    <xf numFmtId="4" fontId="50" fillId="2" borderId="9" xfId="0" applyNumberFormat="1" applyFont="1" applyFill="1" applyBorder="1"/>
    <xf numFmtId="0" fontId="40" fillId="2" borderId="0" xfId="0" applyFont="1" applyFill="1"/>
    <xf numFmtId="164" fontId="40" fillId="2" borderId="0" xfId="3" applyFont="1" applyFill="1"/>
    <xf numFmtId="4" fontId="40" fillId="2" borderId="0" xfId="0" applyNumberFormat="1" applyFont="1" applyFill="1"/>
    <xf numFmtId="0" fontId="40" fillId="2" borderId="1" xfId="0" applyFont="1" applyFill="1" applyBorder="1" applyAlignment="1">
      <alignment horizontal="center" vertical="center"/>
    </xf>
    <xf numFmtId="4" fontId="4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2" applyFont="1"/>
    <xf numFmtId="49" fontId="5" fillId="0" borderId="1" xfId="2" applyNumberFormat="1" applyFont="1" applyBorder="1" applyAlignment="1">
      <alignment horizontal="center"/>
    </xf>
    <xf numFmtId="49" fontId="5" fillId="0" borderId="0" xfId="2" applyNumberFormat="1" applyFont="1" applyBorder="1" applyAlignment="1">
      <alignment horizontal="center"/>
    </xf>
    <xf numFmtId="164" fontId="9" fillId="0" borderId="51" xfId="0" applyNumberFormat="1" applyFont="1" applyBorder="1"/>
    <xf numFmtId="0" fontId="5" fillId="0" borderId="1" xfId="2" applyFont="1" applyFill="1" applyBorder="1" applyAlignment="1">
      <alignment horizontal="left" wrapText="1"/>
    </xf>
    <xf numFmtId="0" fontId="3" fillId="0" borderId="0" xfId="0" applyFont="1"/>
    <xf numFmtId="0" fontId="4" fillId="0" borderId="0" xfId="2" applyFont="1"/>
    <xf numFmtId="0" fontId="3" fillId="0" borderId="0" xfId="0" applyFont="1" applyAlignment="1">
      <alignment wrapText="1"/>
    </xf>
    <xf numFmtId="49" fontId="4" fillId="0" borderId="0" xfId="2" applyNumberFormat="1" applyFont="1" applyBorder="1" applyAlignment="1">
      <alignment horizontal="center"/>
    </xf>
    <xf numFmtId="0" fontId="53" fillId="0" borderId="1" xfId="0" applyFont="1" applyBorder="1" applyAlignment="1">
      <alignment wrapText="1"/>
    </xf>
    <xf numFmtId="0" fontId="4" fillId="0" borderId="0" xfId="2" applyFont="1" applyAlignment="1">
      <alignment horizont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8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48" xfId="2" applyFont="1" applyBorder="1" applyAlignment="1">
      <alignment horizontal="center" vertical="top"/>
    </xf>
    <xf numFmtId="0" fontId="4" fillId="0" borderId="29" xfId="2" applyFont="1" applyFill="1" applyBorder="1" applyAlignment="1">
      <alignment horizontal="center" vertical="center"/>
    </xf>
    <xf numFmtId="0" fontId="4" fillId="0" borderId="29" xfId="2" applyFont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0" borderId="61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48" xfId="2" applyFont="1" applyBorder="1" applyAlignment="1">
      <alignment horizontal="center"/>
    </xf>
    <xf numFmtId="0" fontId="3" fillId="0" borderId="10" xfId="0" applyFont="1" applyBorder="1" applyAlignment="1"/>
    <xf numFmtId="49" fontId="4" fillId="0" borderId="62" xfId="2" applyNumberFormat="1" applyFont="1" applyFill="1" applyBorder="1" applyAlignment="1">
      <alignment horizontal="center"/>
    </xf>
    <xf numFmtId="0" fontId="4" fillId="0" borderId="25" xfId="2" applyFont="1" applyFill="1" applyBorder="1" applyAlignment="1">
      <alignment horizontal="left" wrapText="1"/>
    </xf>
    <xf numFmtId="0" fontId="4" fillId="0" borderId="3" xfId="2" applyFont="1" applyFill="1" applyBorder="1" applyAlignment="1">
      <alignment horizontal="center"/>
    </xf>
    <xf numFmtId="2" fontId="4" fillId="0" borderId="3" xfId="2" applyNumberFormat="1" applyFont="1" applyFill="1" applyBorder="1" applyAlignment="1">
      <alignment horizontal="center"/>
    </xf>
    <xf numFmtId="164" fontId="4" fillId="2" borderId="3" xfId="3" applyFont="1" applyFill="1" applyBorder="1" applyAlignment="1">
      <alignment horizontal="left" wrapText="1"/>
    </xf>
    <xf numFmtId="9" fontId="4" fillId="0" borderId="3" xfId="3" applyNumberFormat="1" applyFont="1" applyFill="1" applyBorder="1" applyAlignment="1">
      <alignment horizontal="center"/>
    </xf>
    <xf numFmtId="164" fontId="4" fillId="0" borderId="3" xfId="3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/>
    </xf>
    <xf numFmtId="9" fontId="4" fillId="0" borderId="1" xfId="2" applyNumberFormat="1" applyFont="1" applyFill="1" applyBorder="1" applyAlignment="1">
      <alignment horizontal="center"/>
    </xf>
    <xf numFmtId="164" fontId="4" fillId="0" borderId="1" xfId="3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4" fontId="3" fillId="0" borderId="33" xfId="0" applyNumberFormat="1" applyFont="1" applyBorder="1"/>
    <xf numFmtId="0" fontId="4" fillId="0" borderId="19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/>
    </xf>
    <xf numFmtId="164" fontId="4" fillId="2" borderId="1" xfId="3" applyFont="1" applyFill="1" applyBorder="1" applyAlignment="1">
      <alignment horizontal="left" wrapText="1"/>
    </xf>
    <xf numFmtId="9" fontId="4" fillId="0" borderId="1" xfId="3" applyNumberFormat="1" applyFont="1" applyFill="1" applyBorder="1" applyAlignment="1">
      <alignment horizontal="center"/>
    </xf>
    <xf numFmtId="0" fontId="4" fillId="0" borderId="63" xfId="2" applyFont="1" applyBorder="1"/>
    <xf numFmtId="0" fontId="4" fillId="0" borderId="13" xfId="2" applyFont="1" applyBorder="1" applyAlignment="1">
      <alignment wrapText="1"/>
    </xf>
    <xf numFmtId="0" fontId="4" fillId="0" borderId="9" xfId="2" applyFont="1" applyFill="1" applyBorder="1" applyAlignment="1">
      <alignment horizontal="center"/>
    </xf>
    <xf numFmtId="164" fontId="4" fillId="0" borderId="48" xfId="1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2" fontId="4" fillId="0" borderId="9" xfId="2" applyNumberFormat="1" applyFont="1" applyFill="1" applyBorder="1" applyAlignment="1">
      <alignment horizontal="center"/>
    </xf>
    <xf numFmtId="164" fontId="4" fillId="0" borderId="9" xfId="1" applyFont="1" applyFill="1" applyBorder="1" applyAlignment="1">
      <alignment horizontal="center"/>
    </xf>
    <xf numFmtId="0" fontId="3" fillId="0" borderId="62" xfId="0" applyFont="1" applyBorder="1"/>
    <xf numFmtId="0" fontId="4" fillId="0" borderId="31" xfId="2" applyFont="1" applyFill="1" applyBorder="1" applyAlignment="1">
      <alignment horizontal="left" wrapText="1"/>
    </xf>
    <xf numFmtId="0" fontId="3" fillId="0" borderId="11" xfId="0" applyFont="1" applyBorder="1"/>
    <xf numFmtId="0" fontId="3" fillId="0" borderId="3" xfId="0" applyFont="1" applyBorder="1"/>
    <xf numFmtId="164" fontId="3" fillId="0" borderId="3" xfId="0" applyNumberFormat="1" applyFont="1" applyBorder="1"/>
    <xf numFmtId="0" fontId="3" fillId="0" borderId="59" xfId="0" applyFont="1" applyBorder="1"/>
    <xf numFmtId="0" fontId="4" fillId="0" borderId="24" xfId="2" applyFont="1" applyFill="1" applyBorder="1" applyAlignment="1">
      <alignment horizontal="left" wrapText="1"/>
    </xf>
    <xf numFmtId="0" fontId="3" fillId="0" borderId="5" xfId="0" applyFont="1" applyBorder="1"/>
    <xf numFmtId="164" fontId="3" fillId="0" borderId="5" xfId="0" applyNumberFormat="1" applyFont="1" applyBorder="1"/>
    <xf numFmtId="164" fontId="3" fillId="0" borderId="11" xfId="0" applyNumberFormat="1" applyFont="1" applyBorder="1"/>
    <xf numFmtId="0" fontId="3" fillId="0" borderId="15" xfId="0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9" xfId="1" applyFont="1" applyBorder="1"/>
    <xf numFmtId="164" fontId="3" fillId="0" borderId="0" xfId="0" applyNumberFormat="1" applyFont="1"/>
    <xf numFmtId="0" fontId="42" fillId="0" borderId="0" xfId="0" applyFont="1"/>
    <xf numFmtId="0" fontId="40" fillId="0" borderId="0" xfId="2" applyFont="1"/>
    <xf numFmtId="49" fontId="40" fillId="0" borderId="1" xfId="2" applyNumberFormat="1" applyFont="1" applyBorder="1" applyAlignment="1">
      <alignment horizontal="center"/>
    </xf>
    <xf numFmtId="49" fontId="40" fillId="0" borderId="0" xfId="2" applyNumberFormat="1" applyFont="1" applyBorder="1" applyAlignment="1">
      <alignment horizontal="center"/>
    </xf>
    <xf numFmtId="164" fontId="43" fillId="0" borderId="0" xfId="1" applyFont="1" applyAlignment="1">
      <alignment horizontal="center"/>
    </xf>
    <xf numFmtId="0" fontId="54" fillId="0" borderId="1" xfId="0" applyFont="1" applyBorder="1" applyAlignment="1">
      <alignment wrapText="1"/>
    </xf>
    <xf numFmtId="0" fontId="54" fillId="0" borderId="0" xfId="0" applyFont="1" applyBorder="1" applyAlignment="1">
      <alignment wrapText="1"/>
    </xf>
    <xf numFmtId="173" fontId="3" fillId="0" borderId="51" xfId="0" applyNumberFormat="1" applyFont="1" applyBorder="1"/>
    <xf numFmtId="164" fontId="40" fillId="0" borderId="0" xfId="2" applyNumberFormat="1" applyFont="1"/>
    <xf numFmtId="0" fontId="40" fillId="0" borderId="0" xfId="2" applyFont="1" applyAlignment="1">
      <alignment horizontal="center" wrapText="1"/>
    </xf>
    <xf numFmtId="0" fontId="42" fillId="0" borderId="0" xfId="0" applyFont="1" applyAlignment="1"/>
    <xf numFmtId="0" fontId="40" fillId="0" borderId="1" xfId="0" applyFont="1" applyBorder="1" applyAlignment="1">
      <alignment horizontal="center" wrapText="1"/>
    </xf>
    <xf numFmtId="14" fontId="40" fillId="0" borderId="1" xfId="0" applyNumberFormat="1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14" fontId="40" fillId="0" borderId="0" xfId="0" applyNumberFormat="1" applyFont="1" applyBorder="1" applyAlignment="1">
      <alignment horizontal="center" wrapText="1"/>
    </xf>
    <xf numFmtId="0" fontId="42" fillId="0" borderId="0" xfId="0" applyFont="1" applyAlignment="1">
      <alignment wrapText="1"/>
    </xf>
    <xf numFmtId="164" fontId="3" fillId="0" borderId="51" xfId="0" applyNumberFormat="1" applyFont="1" applyBorder="1"/>
    <xf numFmtId="0" fontId="40" fillId="0" borderId="8" xfId="2" applyFont="1" applyBorder="1" applyAlignment="1">
      <alignment horizontal="center" vertical="top"/>
    </xf>
    <xf numFmtId="0" fontId="40" fillId="0" borderId="9" xfId="2" applyFont="1" applyBorder="1" applyAlignment="1">
      <alignment horizontal="center" vertical="top"/>
    </xf>
    <xf numFmtId="0" fontId="40" fillId="0" borderId="48" xfId="2" applyFont="1" applyBorder="1" applyAlignment="1">
      <alignment horizontal="center" vertical="top"/>
    </xf>
    <xf numFmtId="0" fontId="40" fillId="0" borderId="1" xfId="2" applyFont="1" applyFill="1" applyBorder="1" applyAlignment="1">
      <alignment horizontal="center" vertical="center"/>
    </xf>
    <xf numFmtId="0" fontId="40" fillId="0" borderId="1" xfId="2" applyFont="1" applyBorder="1" applyAlignment="1">
      <alignment horizontal="center" vertical="center" wrapText="1"/>
    </xf>
    <xf numFmtId="0" fontId="40" fillId="2" borderId="1" xfId="2" applyFont="1" applyFill="1" applyBorder="1" applyAlignment="1">
      <alignment horizontal="center" vertical="center" wrapText="1"/>
    </xf>
    <xf numFmtId="0" fontId="40" fillId="0" borderId="36" xfId="2" applyFont="1" applyBorder="1" applyAlignment="1">
      <alignment horizontal="center"/>
    </xf>
    <xf numFmtId="0" fontId="40" fillId="0" borderId="1" xfId="2" applyFont="1" applyBorder="1" applyAlignment="1">
      <alignment horizontal="center"/>
    </xf>
    <xf numFmtId="0" fontId="42" fillId="0" borderId="1" xfId="0" applyFont="1" applyBorder="1"/>
    <xf numFmtId="49" fontId="40" fillId="0" borderId="1" xfId="2" applyNumberFormat="1" applyFont="1" applyFill="1" applyBorder="1" applyAlignment="1">
      <alignment horizontal="center"/>
    </xf>
    <xf numFmtId="0" fontId="40" fillId="0" borderId="1" xfId="2" applyFont="1" applyFill="1" applyBorder="1" applyAlignment="1">
      <alignment horizontal="left" wrapText="1"/>
    </xf>
    <xf numFmtId="0" fontId="40" fillId="0" borderId="1" xfId="2" applyFont="1" applyFill="1" applyBorder="1" applyAlignment="1">
      <alignment horizontal="center"/>
    </xf>
    <xf numFmtId="2" fontId="40" fillId="0" borderId="1" xfId="2" applyNumberFormat="1" applyFont="1" applyFill="1" applyBorder="1" applyAlignment="1">
      <alignment horizontal="center"/>
    </xf>
    <xf numFmtId="164" fontId="40" fillId="2" borderId="1" xfId="3" applyFont="1" applyFill="1" applyBorder="1" applyAlignment="1">
      <alignment horizontal="left" wrapText="1"/>
    </xf>
    <xf numFmtId="9" fontId="40" fillId="0" borderId="1" xfId="3" applyNumberFormat="1" applyFont="1" applyFill="1" applyBorder="1" applyAlignment="1">
      <alignment horizontal="center"/>
    </xf>
    <xf numFmtId="164" fontId="40" fillId="0" borderId="1" xfId="3" applyFont="1" applyFill="1" applyBorder="1" applyAlignment="1">
      <alignment horizontal="center"/>
    </xf>
    <xf numFmtId="2" fontId="40" fillId="0" borderId="1" xfId="3" applyNumberFormat="1" applyFont="1" applyFill="1" applyBorder="1" applyAlignment="1">
      <alignment horizontal="center"/>
    </xf>
    <xf numFmtId="164" fontId="40" fillId="0" borderId="1" xfId="2" applyNumberFormat="1" applyFont="1" applyFill="1" applyBorder="1" applyAlignment="1">
      <alignment horizontal="center"/>
    </xf>
    <xf numFmtId="164" fontId="42" fillId="0" borderId="1" xfId="0" applyNumberFormat="1" applyFont="1" applyBorder="1"/>
    <xf numFmtId="9" fontId="40" fillId="0" borderId="1" xfId="2" applyNumberFormat="1" applyFont="1" applyFill="1" applyBorder="1" applyAlignment="1">
      <alignment horizontal="center"/>
    </xf>
    <xf numFmtId="49" fontId="40" fillId="0" borderId="36" xfId="2" applyNumberFormat="1" applyFont="1" applyFill="1" applyBorder="1" applyAlignment="1">
      <alignment horizontal="center"/>
    </xf>
    <xf numFmtId="0" fontId="40" fillId="2" borderId="1" xfId="2" applyFont="1" applyFill="1" applyBorder="1" applyAlignment="1">
      <alignment horizontal="left" wrapText="1"/>
    </xf>
    <xf numFmtId="0" fontId="40" fillId="2" borderId="1" xfId="2" applyFont="1" applyFill="1" applyBorder="1" applyAlignment="1">
      <alignment horizontal="center"/>
    </xf>
    <xf numFmtId="9" fontId="40" fillId="2" borderId="1" xfId="2" applyNumberFormat="1" applyFont="1" applyFill="1" applyBorder="1" applyAlignment="1">
      <alignment horizontal="center"/>
    </xf>
    <xf numFmtId="164" fontId="40" fillId="2" borderId="1" xfId="3" applyFont="1" applyFill="1" applyBorder="1" applyAlignment="1">
      <alignment horizontal="center"/>
    </xf>
    <xf numFmtId="2" fontId="40" fillId="2" borderId="1" xfId="3" applyNumberFormat="1" applyFont="1" applyFill="1" applyBorder="1" applyAlignment="1">
      <alignment horizontal="center"/>
    </xf>
    <xf numFmtId="164" fontId="40" fillId="2" borderId="1" xfId="2" applyNumberFormat="1" applyFont="1" applyFill="1" applyBorder="1" applyAlignment="1">
      <alignment horizontal="center"/>
    </xf>
    <xf numFmtId="49" fontId="40" fillId="0" borderId="51" xfId="2" applyNumberFormat="1" applyFont="1" applyFill="1" applyBorder="1" applyAlignment="1">
      <alignment horizontal="center"/>
    </xf>
    <xf numFmtId="0" fontId="40" fillId="0" borderId="8" xfId="2" applyFont="1" applyFill="1" applyBorder="1" applyAlignment="1">
      <alignment horizontal="left" wrapText="1"/>
    </xf>
    <xf numFmtId="0" fontId="40" fillId="0" borderId="9" xfId="2" applyFont="1" applyFill="1" applyBorder="1" applyAlignment="1">
      <alignment horizontal="center"/>
    </xf>
    <xf numFmtId="164" fontId="40" fillId="0" borderId="9" xfId="1" applyFont="1" applyFill="1" applyBorder="1" applyAlignment="1">
      <alignment horizontal="center"/>
    </xf>
    <xf numFmtId="164" fontId="40" fillId="0" borderId="10" xfId="1" applyFont="1" applyFill="1" applyBorder="1" applyAlignment="1">
      <alignment horizontal="center"/>
    </xf>
    <xf numFmtId="49" fontId="40" fillId="0" borderId="4" xfId="2" applyNumberFormat="1" applyFont="1" applyFill="1" applyBorder="1" applyAlignment="1">
      <alignment horizontal="center"/>
    </xf>
    <xf numFmtId="0" fontId="40" fillId="0" borderId="3" xfId="2" applyFont="1" applyFill="1" applyBorder="1" applyAlignment="1">
      <alignment horizontal="left" wrapText="1"/>
    </xf>
    <xf numFmtId="0" fontId="40" fillId="0" borderId="3" xfId="2" applyFont="1" applyFill="1" applyBorder="1" applyAlignment="1">
      <alignment horizontal="center"/>
    </xf>
    <xf numFmtId="10" fontId="40" fillId="0" borderId="3" xfId="2" applyNumberFormat="1" applyFont="1" applyFill="1" applyBorder="1" applyAlignment="1">
      <alignment horizontal="center"/>
    </xf>
    <xf numFmtId="164" fontId="40" fillId="0" borderId="3" xfId="3" applyFont="1" applyFill="1" applyBorder="1" applyAlignment="1">
      <alignment horizontal="center"/>
    </xf>
    <xf numFmtId="164" fontId="40" fillId="0" borderId="3" xfId="2" applyNumberFormat="1" applyFont="1" applyFill="1" applyBorder="1" applyAlignment="1">
      <alignment horizontal="center"/>
    </xf>
    <xf numFmtId="0" fontId="40" fillId="0" borderId="0" xfId="2" applyFont="1" applyFill="1" applyBorder="1" applyAlignment="1">
      <alignment horizontal="left" wrapText="1"/>
    </xf>
    <xf numFmtId="49" fontId="40" fillId="0" borderId="0" xfId="2" applyNumberFormat="1" applyFont="1" applyFill="1" applyBorder="1" applyAlignment="1">
      <alignment horizontal="center"/>
    </xf>
    <xf numFmtId="0" fontId="40" fillId="0" borderId="5" xfId="2" applyFont="1" applyFill="1" applyBorder="1" applyAlignment="1">
      <alignment horizontal="center"/>
    </xf>
    <xf numFmtId="164" fontId="40" fillId="2" borderId="5" xfId="3" applyFont="1" applyFill="1" applyBorder="1" applyAlignment="1">
      <alignment horizontal="center" vertical="center" wrapText="1"/>
    </xf>
    <xf numFmtId="10" fontId="40" fillId="0" borderId="5" xfId="2" applyNumberFormat="1" applyFont="1" applyFill="1" applyBorder="1" applyAlignment="1">
      <alignment horizontal="center"/>
    </xf>
    <xf numFmtId="164" fontId="40" fillId="0" borderId="5" xfId="3" applyFont="1" applyFill="1" applyBorder="1" applyAlignment="1">
      <alignment horizontal="center"/>
    </xf>
    <xf numFmtId="164" fontId="40" fillId="0" borderId="5" xfId="2" applyNumberFormat="1" applyFont="1" applyFill="1" applyBorder="1" applyAlignment="1">
      <alignment horizontal="center"/>
    </xf>
    <xf numFmtId="0" fontId="40" fillId="0" borderId="15" xfId="2" applyFont="1" applyFill="1" applyBorder="1" applyAlignment="1">
      <alignment horizontal="center"/>
    </xf>
    <xf numFmtId="164" fontId="40" fillId="0" borderId="15" xfId="1" applyNumberFormat="1" applyFont="1" applyFill="1" applyBorder="1" applyAlignment="1">
      <alignment horizontal="center"/>
    </xf>
    <xf numFmtId="164" fontId="40" fillId="0" borderId="51" xfId="1" applyNumberFormat="1" applyFont="1" applyFill="1" applyBorder="1" applyAlignment="1">
      <alignment horizontal="center"/>
    </xf>
    <xf numFmtId="0" fontId="40" fillId="0" borderId="0" xfId="2" applyFont="1" applyFill="1" applyBorder="1" applyAlignment="1">
      <alignment horizontal="center"/>
    </xf>
    <xf numFmtId="164" fontId="40" fillId="0" borderId="0" xfId="1" applyNumberFormat="1" applyFont="1" applyFill="1" applyBorder="1" applyAlignment="1">
      <alignment horizontal="center"/>
    </xf>
    <xf numFmtId="164" fontId="40" fillId="0" borderId="0" xfId="1" applyFont="1" applyFill="1" applyBorder="1" applyAlignment="1">
      <alignment horizontal="center"/>
    </xf>
    <xf numFmtId="164" fontId="42" fillId="0" borderId="0" xfId="0" applyNumberFormat="1" applyFont="1"/>
    <xf numFmtId="164" fontId="42" fillId="0" borderId="0" xfId="0" applyNumberFormat="1" applyFont="1" applyBorder="1"/>
    <xf numFmtId="0" fontId="40" fillId="2" borderId="3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0" fontId="47" fillId="2" borderId="0" xfId="0" applyFont="1" applyFill="1" applyAlignment="1"/>
    <xf numFmtId="165" fontId="47" fillId="2" borderId="0" xfId="0" applyNumberFormat="1" applyFont="1" applyFill="1" applyAlignment="1"/>
    <xf numFmtId="0" fontId="40" fillId="2" borderId="29" xfId="0" applyFont="1" applyFill="1" applyBorder="1" applyAlignment="1">
      <alignment horizontal="center" vertical="center" wrapText="1"/>
    </xf>
    <xf numFmtId="0" fontId="40" fillId="2" borderId="37" xfId="0" applyFont="1" applyFill="1" applyBorder="1" applyAlignment="1">
      <alignment vertical="top" wrapText="1"/>
    </xf>
    <xf numFmtId="4" fontId="40" fillId="2" borderId="10" xfId="0" applyNumberFormat="1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right" vertical="center" wrapText="1"/>
    </xf>
    <xf numFmtId="0" fontId="40" fillId="2" borderId="3" xfId="0" applyFont="1" applyFill="1" applyBorder="1" applyAlignment="1">
      <alignment horizontal="left" vertical="center" wrapText="1"/>
    </xf>
    <xf numFmtId="4" fontId="40" fillId="2" borderId="1" xfId="3" applyNumberFormat="1" applyFont="1" applyFill="1" applyBorder="1" applyAlignment="1">
      <alignment wrapText="1"/>
    </xf>
    <xf numFmtId="0" fontId="40" fillId="2" borderId="1" xfId="0" applyFont="1" applyFill="1" applyBorder="1" applyAlignment="1">
      <alignment wrapText="1"/>
    </xf>
    <xf numFmtId="4" fontId="40" fillId="2" borderId="1" xfId="0" applyNumberFormat="1" applyFont="1" applyFill="1" applyBorder="1" applyAlignment="1">
      <alignment wrapText="1"/>
    </xf>
    <xf numFmtId="4" fontId="42" fillId="2" borderId="1" xfId="0" applyNumberFormat="1" applyFont="1" applyFill="1" applyBorder="1" applyAlignment="1"/>
    <xf numFmtId="0" fontId="40" fillId="2" borderId="5" xfId="0" applyFont="1" applyFill="1" applyBorder="1" applyAlignment="1">
      <alignment wrapText="1"/>
    </xf>
    <xf numFmtId="4" fontId="42" fillId="2" borderId="5" xfId="0" applyNumberFormat="1" applyFont="1" applyFill="1" applyBorder="1" applyAlignment="1"/>
    <xf numFmtId="164" fontId="40" fillId="2" borderId="5" xfId="1" applyFont="1" applyFill="1" applyBorder="1" applyAlignment="1"/>
    <xf numFmtId="0" fontId="40" fillId="2" borderId="7" xfId="0" applyFont="1" applyFill="1" applyBorder="1" applyAlignment="1">
      <alignment vertical="center" wrapText="1"/>
    </xf>
    <xf numFmtId="4" fontId="40" fillId="2" borderId="33" xfId="0" applyNumberFormat="1" applyFont="1" applyFill="1" applyBorder="1" applyAlignment="1">
      <alignment horizontal="center" vertical="center" wrapText="1"/>
    </xf>
    <xf numFmtId="0" fontId="47" fillId="2" borderId="26" xfId="0" applyFont="1" applyFill="1" applyBorder="1" applyAlignment="1">
      <alignment horizontal="left" vertical="center" wrapText="1"/>
    </xf>
    <xf numFmtId="166" fontId="47" fillId="2" borderId="22" xfId="0" applyNumberFormat="1" applyFont="1" applyFill="1" applyBorder="1" applyAlignment="1">
      <alignment horizontal="center" vertical="center" wrapText="1"/>
    </xf>
    <xf numFmtId="4" fontId="47" fillId="2" borderId="22" xfId="0" applyNumberFormat="1" applyFont="1" applyFill="1" applyBorder="1" applyAlignment="1">
      <alignment horizontal="center" vertical="center" wrapText="1"/>
    </xf>
    <xf numFmtId="0" fontId="47" fillId="2" borderId="12" xfId="0" applyFont="1" applyFill="1" applyBorder="1" applyAlignment="1">
      <alignment horizontal="left" vertical="center" wrapText="1"/>
    </xf>
    <xf numFmtId="4" fontId="40" fillId="2" borderId="38" xfId="3" applyNumberFormat="1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right" vertical="center" wrapText="1"/>
    </xf>
    <xf numFmtId="0" fontId="40" fillId="7" borderId="40" xfId="0" applyFont="1" applyFill="1" applyBorder="1" applyAlignment="1"/>
    <xf numFmtId="0" fontId="47" fillId="7" borderId="41" xfId="0" applyFont="1" applyFill="1" applyBorder="1" applyAlignment="1">
      <alignment vertical="center" wrapText="1"/>
    </xf>
    <xf numFmtId="4" fontId="47" fillId="7" borderId="41" xfId="0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40" fillId="2" borderId="3" xfId="0" applyNumberFormat="1" applyFont="1" applyFill="1" applyBorder="1" applyAlignment="1">
      <alignment vertical="center" wrapText="1"/>
    </xf>
    <xf numFmtId="164" fontId="40" fillId="2" borderId="1" xfId="1" applyNumberFormat="1" applyFont="1" applyFill="1" applyBorder="1" applyAlignment="1">
      <alignment vertical="center"/>
    </xf>
    <xf numFmtId="164" fontId="40" fillId="2" borderId="3" xfId="1" applyNumberFormat="1" applyFont="1" applyFill="1" applyBorder="1" applyAlignment="1">
      <alignment vertical="center" wrapText="1"/>
    </xf>
    <xf numFmtId="164" fontId="40" fillId="2" borderId="20" xfId="3" applyNumberFormat="1" applyFont="1" applyFill="1" applyBorder="1" applyAlignment="1">
      <alignment vertical="center" wrapText="1"/>
    </xf>
    <xf numFmtId="166" fontId="40" fillId="2" borderId="11" xfId="0" applyNumberFormat="1" applyFont="1" applyFill="1" applyBorder="1" applyAlignment="1">
      <alignment vertical="center" wrapText="1"/>
    </xf>
    <xf numFmtId="164" fontId="40" fillId="2" borderId="11" xfId="1" applyNumberFormat="1" applyFont="1" applyFill="1" applyBorder="1" applyAlignment="1">
      <alignment vertical="center"/>
    </xf>
    <xf numFmtId="164" fontId="40" fillId="2" borderId="11" xfId="1" applyNumberFormat="1" applyFont="1" applyFill="1" applyBorder="1" applyAlignment="1">
      <alignment vertical="center" wrapText="1"/>
    </xf>
    <xf numFmtId="166" fontId="40" fillId="2" borderId="9" xfId="0" applyNumberFormat="1" applyFont="1" applyFill="1" applyBorder="1" applyAlignment="1">
      <alignment vertical="center" wrapText="1"/>
    </xf>
    <xf numFmtId="164" fontId="40" fillId="2" borderId="9" xfId="1" applyFont="1" applyFill="1" applyBorder="1" applyAlignment="1">
      <alignment vertical="center" wrapText="1"/>
    </xf>
    <xf numFmtId="0" fontId="40" fillId="2" borderId="40" xfId="0" applyFont="1" applyFill="1" applyBorder="1" applyAlignment="1">
      <alignment vertical="center" wrapText="1"/>
    </xf>
    <xf numFmtId="4" fontId="40" fillId="2" borderId="16" xfId="0" applyNumberFormat="1" applyFont="1" applyFill="1" applyBorder="1" applyAlignment="1">
      <alignment horizontal="center" vertical="center" wrapText="1"/>
    </xf>
    <xf numFmtId="166" fontId="40" fillId="2" borderId="11" xfId="3" applyNumberFormat="1" applyFont="1" applyFill="1" applyBorder="1" applyAlignment="1">
      <alignment horizontal="center" vertical="center" wrapText="1"/>
    </xf>
    <xf numFmtId="0" fontId="40" fillId="7" borderId="8" xfId="0" applyFont="1" applyFill="1" applyBorder="1" applyAlignment="1">
      <alignment vertical="center" wrapText="1"/>
    </xf>
    <xf numFmtId="0" fontId="47" fillId="7" borderId="9" xfId="0" applyFont="1" applyFill="1" applyBorder="1" applyAlignment="1">
      <alignment horizontal="right" vertical="center" wrapText="1"/>
    </xf>
    <xf numFmtId="4" fontId="47" fillId="7" borderId="9" xfId="0" applyNumberFormat="1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right" vertical="center" wrapText="1"/>
    </xf>
    <xf numFmtId="4" fontId="47" fillId="2" borderId="41" xfId="0" applyNumberFormat="1" applyFont="1" applyFill="1" applyBorder="1" applyAlignment="1">
      <alignment horizontal="center" vertical="center" wrapText="1"/>
    </xf>
    <xf numFmtId="43" fontId="42" fillId="2" borderId="0" xfId="0" applyNumberFormat="1" applyFont="1" applyFill="1"/>
    <xf numFmtId="0" fontId="29" fillId="2" borderId="11" xfId="2" applyFont="1" applyFill="1" applyBorder="1" applyAlignment="1">
      <alignment horizontal="left" wrapText="1"/>
    </xf>
    <xf numFmtId="0" fontId="29" fillId="2" borderId="5" xfId="2" applyFont="1" applyFill="1" applyBorder="1" applyAlignment="1">
      <alignment horizontal="left" wrapText="1"/>
    </xf>
    <xf numFmtId="0" fontId="42" fillId="2" borderId="3" xfId="0" applyFont="1" applyFill="1" applyBorder="1"/>
    <xf numFmtId="3" fontId="40" fillId="2" borderId="1" xfId="0" applyNumberFormat="1" applyFont="1" applyFill="1" applyBorder="1" applyAlignment="1">
      <alignment horizontal="center" wrapText="1"/>
    </xf>
    <xf numFmtId="2" fontId="42" fillId="2" borderId="1" xfId="0" applyNumberFormat="1" applyFont="1" applyFill="1" applyBorder="1"/>
    <xf numFmtId="2" fontId="42" fillId="2" borderId="5" xfId="0" applyNumberFormat="1" applyFont="1" applyFill="1" applyBorder="1"/>
    <xf numFmtId="0" fontId="42" fillId="2" borderId="5" xfId="0" applyFont="1" applyFill="1" applyBorder="1"/>
    <xf numFmtId="3" fontId="47" fillId="2" borderId="9" xfId="0" applyNumberFormat="1" applyFont="1" applyFill="1" applyBorder="1" applyAlignment="1">
      <alignment horizontal="center" vertical="center" wrapText="1"/>
    </xf>
    <xf numFmtId="2" fontId="42" fillId="2" borderId="3" xfId="0" applyNumberFormat="1" applyFont="1" applyFill="1" applyBorder="1"/>
    <xf numFmtId="2" fontId="42" fillId="2" borderId="0" xfId="0" applyNumberFormat="1" applyFont="1" applyFill="1"/>
    <xf numFmtId="166" fontId="40" fillId="2" borderId="1" xfId="3" applyNumberFormat="1" applyFont="1" applyFill="1" applyBorder="1" applyAlignment="1">
      <alignment horizontal="right" vertical="center" wrapText="1"/>
    </xf>
    <xf numFmtId="0" fontId="47" fillId="2" borderId="14" xfId="0" applyFont="1" applyFill="1" applyBorder="1" applyAlignment="1">
      <alignment vertical="top" wrapText="1"/>
    </xf>
    <xf numFmtId="0" fontId="40" fillId="2" borderId="3" xfId="0" applyFont="1" applyFill="1" applyBorder="1" applyAlignment="1"/>
    <xf numFmtId="0" fontId="47" fillId="2" borderId="3" xfId="0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horizontal="center" vertical="center"/>
    </xf>
    <xf numFmtId="4" fontId="47" fillId="2" borderId="3" xfId="0" applyNumberFormat="1" applyFont="1" applyFill="1" applyBorder="1" applyAlignment="1">
      <alignment horizontal="center" vertical="center"/>
    </xf>
    <xf numFmtId="164" fontId="40" fillId="2" borderId="1" xfId="1" applyFont="1" applyFill="1" applyBorder="1" applyAlignment="1">
      <alignment horizontal="right" vertical="center" wrapText="1"/>
    </xf>
    <xf numFmtId="164" fontId="42" fillId="2" borderId="1" xfId="1" applyFont="1" applyFill="1" applyBorder="1"/>
    <xf numFmtId="164" fontId="42" fillId="2" borderId="11" xfId="1" applyFont="1" applyFill="1" applyBorder="1"/>
    <xf numFmtId="166" fontId="40" fillId="2" borderId="1" xfId="3" applyNumberFormat="1" applyFont="1" applyFill="1" applyBorder="1" applyAlignment="1">
      <alignment horizontal="right" wrapText="1"/>
    </xf>
    <xf numFmtId="0" fontId="40" fillId="2" borderId="1" xfId="0" applyFont="1" applyFill="1" applyBorder="1" applyAlignment="1">
      <alignment vertical="center" wrapText="1"/>
    </xf>
    <xf numFmtId="3" fontId="40" fillId="2" borderId="1" xfId="0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top" wrapText="1"/>
    </xf>
    <xf numFmtId="3" fontId="40" fillId="2" borderId="3" xfId="0" applyNumberFormat="1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0" fontId="40" fillId="0" borderId="1" xfId="2" applyFont="1" applyFill="1" applyBorder="1" applyAlignment="1">
      <alignment horizontal="left" wrapText="1"/>
    </xf>
    <xf numFmtId="0" fontId="40" fillId="0" borderId="1" xfId="2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wrapText="1"/>
    </xf>
    <xf numFmtId="0" fontId="40" fillId="0" borderId="1" xfId="2" applyFont="1" applyBorder="1" applyAlignment="1">
      <alignment horizontal="center" vertical="center" wrapText="1"/>
    </xf>
    <xf numFmtId="0" fontId="40" fillId="0" borderId="0" xfId="2" applyFont="1" applyAlignment="1">
      <alignment wrapText="1"/>
    </xf>
    <xf numFmtId="0" fontId="40" fillId="0" borderId="1" xfId="2" applyFont="1" applyBorder="1" applyAlignment="1">
      <alignment wrapText="1"/>
    </xf>
    <xf numFmtId="0" fontId="40" fillId="0" borderId="1" xfId="2" applyFont="1" applyBorder="1"/>
    <xf numFmtId="14" fontId="40" fillId="0" borderId="1" xfId="2" applyNumberFormat="1" applyFont="1" applyBorder="1"/>
    <xf numFmtId="0" fontId="40" fillId="0" borderId="0" xfId="2" applyFont="1" applyAlignment="1">
      <alignment horizontal="center"/>
    </xf>
    <xf numFmtId="0" fontId="40" fillId="0" borderId="1" xfId="2" applyFont="1" applyFill="1" applyBorder="1" applyAlignment="1">
      <alignment horizontal="center" wrapText="1"/>
    </xf>
    <xf numFmtId="164" fontId="40" fillId="2" borderId="1" xfId="3" applyFont="1" applyFill="1" applyBorder="1" applyAlignment="1">
      <alignment horizontal="center" wrapText="1"/>
    </xf>
    <xf numFmtId="170" fontId="40" fillId="0" borderId="1" xfId="3" applyNumberFormat="1" applyFont="1" applyFill="1" applyBorder="1" applyAlignment="1">
      <alignment horizontal="center"/>
    </xf>
    <xf numFmtId="164" fontId="42" fillId="0" borderId="1" xfId="1" applyFont="1" applyBorder="1"/>
    <xf numFmtId="0" fontId="42" fillId="0" borderId="1" xfId="0" applyFont="1" applyBorder="1" applyAlignment="1">
      <alignment horizontal="center" vertical="center" wrapText="1"/>
    </xf>
    <xf numFmtId="0" fontId="60" fillId="0" borderId="0" xfId="0" applyFont="1"/>
    <xf numFmtId="167" fontId="60" fillId="0" borderId="0" xfId="0" applyNumberFormat="1" applyFont="1"/>
    <xf numFmtId="0" fontId="42" fillId="0" borderId="0" xfId="0" applyFont="1" applyAlignment="1">
      <alignment horizontal="left" vertical="top"/>
    </xf>
    <xf numFmtId="164" fontId="42" fillId="0" borderId="0" xfId="1" applyFont="1"/>
    <xf numFmtId="172" fontId="42" fillId="0" borderId="0" xfId="0" applyNumberFormat="1" applyFont="1"/>
    <xf numFmtId="0" fontId="40" fillId="0" borderId="1" xfId="0" applyFont="1" applyFill="1" applyBorder="1" applyAlignment="1">
      <alignment horizontal="center" vertical="center" wrapText="1"/>
    </xf>
    <xf numFmtId="0" fontId="54" fillId="0" borderId="1" xfId="0" applyFont="1" applyBorder="1"/>
    <xf numFmtId="0" fontId="54" fillId="0" borderId="0" xfId="0" applyFont="1"/>
    <xf numFmtId="172" fontId="54" fillId="0" borderId="0" xfId="0" applyNumberFormat="1" applyFont="1"/>
    <xf numFmtId="166" fontId="54" fillId="0" borderId="1" xfId="0" applyNumberFormat="1" applyFont="1" applyBorder="1"/>
    <xf numFmtId="2" fontId="54" fillId="0" borderId="1" xfId="0" applyNumberFormat="1" applyFont="1" applyBorder="1"/>
    <xf numFmtId="169" fontId="54" fillId="0" borderId="1" xfId="3" applyNumberFormat="1" applyFont="1" applyBorder="1"/>
    <xf numFmtId="43" fontId="40" fillId="0" borderId="51" xfId="2" applyNumberFormat="1" applyFont="1" applyBorder="1" applyAlignment="1">
      <alignment horizontal="center"/>
    </xf>
    <xf numFmtId="43" fontId="40" fillId="0" borderId="0" xfId="2" applyNumberFormat="1" applyFont="1" applyBorder="1" applyAlignment="1">
      <alignment horizontal="center"/>
    </xf>
    <xf numFmtId="0" fontId="42" fillId="0" borderId="5" xfId="0" applyFont="1" applyBorder="1" applyAlignment="1">
      <alignment horizontal="center" vertical="center" wrapText="1"/>
    </xf>
    <xf numFmtId="0" fontId="40" fillId="0" borderId="8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 wrapText="1"/>
    </xf>
    <xf numFmtId="43" fontId="42" fillId="0" borderId="0" xfId="0" applyNumberFormat="1" applyFont="1"/>
    <xf numFmtId="164" fontId="42" fillId="0" borderId="51" xfId="0" applyNumberFormat="1" applyFont="1" applyBorder="1"/>
    <xf numFmtId="9" fontId="40" fillId="0" borderId="1" xfId="2" applyNumberFormat="1" applyFont="1" applyBorder="1" applyAlignment="1">
      <alignment horizontal="center" vertical="center" wrapText="1"/>
    </xf>
    <xf numFmtId="10" fontId="40" fillId="0" borderId="1" xfId="3" applyNumberFormat="1" applyFont="1" applyFill="1" applyBorder="1" applyAlignment="1">
      <alignment horizontal="center"/>
    </xf>
    <xf numFmtId="10" fontId="40" fillId="0" borderId="1" xfId="2" applyNumberFormat="1" applyFont="1" applyFill="1" applyBorder="1" applyAlignment="1">
      <alignment horizontal="center"/>
    </xf>
    <xf numFmtId="0" fontId="40" fillId="0" borderId="5" xfId="2" applyFont="1" applyFill="1" applyBorder="1" applyAlignment="1">
      <alignment horizontal="left" wrapText="1"/>
    </xf>
    <xf numFmtId="2" fontId="40" fillId="0" borderId="5" xfId="2" applyNumberFormat="1" applyFont="1" applyFill="1" applyBorder="1" applyAlignment="1">
      <alignment horizontal="center"/>
    </xf>
    <xf numFmtId="164" fontId="40" fillId="2" borderId="5" xfId="3" applyFont="1" applyFill="1" applyBorder="1" applyAlignment="1">
      <alignment horizontal="left" wrapText="1"/>
    </xf>
    <xf numFmtId="9" fontId="40" fillId="0" borderId="5" xfId="2" applyNumberFormat="1" applyFont="1" applyFill="1" applyBorder="1" applyAlignment="1">
      <alignment horizontal="center"/>
    </xf>
    <xf numFmtId="2" fontId="40" fillId="0" borderId="5" xfId="3" applyNumberFormat="1" applyFont="1" applyFill="1" applyBorder="1" applyAlignment="1">
      <alignment horizontal="center"/>
    </xf>
    <xf numFmtId="164" fontId="42" fillId="0" borderId="5" xfId="0" applyNumberFormat="1" applyFont="1" applyBorder="1"/>
    <xf numFmtId="0" fontId="40" fillId="0" borderId="9" xfId="2" applyFont="1" applyBorder="1" applyAlignment="1">
      <alignment wrapText="1"/>
    </xf>
    <xf numFmtId="0" fontId="42" fillId="0" borderId="3" xfId="0" applyFont="1" applyBorder="1"/>
    <xf numFmtId="164" fontId="42" fillId="0" borderId="3" xfId="0" applyNumberFormat="1" applyFont="1" applyBorder="1"/>
    <xf numFmtId="0" fontId="42" fillId="0" borderId="5" xfId="0" applyFont="1" applyBorder="1"/>
    <xf numFmtId="164" fontId="42" fillId="0" borderId="9" xfId="1" applyFont="1" applyBorder="1"/>
    <xf numFmtId="166" fontId="40" fillId="2" borderId="9" xfId="0" applyNumberFormat="1" applyFont="1" applyFill="1" applyBorder="1" applyAlignment="1">
      <alignment horizontal="center" vertical="center" wrapText="1"/>
    </xf>
    <xf numFmtId="3" fontId="42" fillId="2" borderId="0" xfId="0" applyNumberFormat="1" applyFont="1" applyFill="1"/>
    <xf numFmtId="2" fontId="40" fillId="2" borderId="0" xfId="0" applyNumberFormat="1" applyFont="1" applyFill="1" applyBorder="1" applyAlignment="1">
      <alignment horizontal="center" vertical="center"/>
    </xf>
    <xf numFmtId="167" fontId="40" fillId="2" borderId="1" xfId="0" applyNumberFormat="1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/>
    <xf numFmtId="0" fontId="40" fillId="2" borderId="40" xfId="0" applyFont="1" applyFill="1" applyBorder="1" applyAlignment="1"/>
    <xf numFmtId="3" fontId="40" fillId="2" borderId="41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wrapText="1"/>
    </xf>
    <xf numFmtId="168" fontId="47" fillId="2" borderId="0" xfId="0" applyNumberFormat="1" applyFont="1" applyFill="1" applyAlignment="1"/>
    <xf numFmtId="4" fontId="40" fillId="2" borderId="0" xfId="0" applyNumberFormat="1" applyFont="1" applyFill="1" applyBorder="1" applyAlignment="1">
      <alignment horizontal="center" vertical="center"/>
    </xf>
    <xf numFmtId="168" fontId="40" fillId="2" borderId="1" xfId="0" applyNumberFormat="1" applyFont="1" applyFill="1" applyBorder="1" applyAlignment="1">
      <alignment horizontal="center" vertical="center"/>
    </xf>
    <xf numFmtId="168" fontId="40" fillId="2" borderId="9" xfId="0" applyNumberFormat="1" applyFont="1" applyFill="1" applyBorder="1"/>
    <xf numFmtId="168" fontId="47" fillId="2" borderId="9" xfId="0" applyNumberFormat="1" applyFont="1" applyFill="1" applyBorder="1" applyAlignment="1">
      <alignment horizontal="center" vertical="center"/>
    </xf>
    <xf numFmtId="4" fontId="42" fillId="0" borderId="0" xfId="0" applyNumberFormat="1" applyFont="1"/>
    <xf numFmtId="0" fontId="40" fillId="2" borderId="8" xfId="0" applyFont="1" applyFill="1" applyBorder="1" applyAlignment="1"/>
    <xf numFmtId="168" fontId="50" fillId="2" borderId="9" xfId="0" applyNumberFormat="1" applyFont="1" applyFill="1" applyBorder="1"/>
    <xf numFmtId="168" fontId="42" fillId="2" borderId="0" xfId="0" applyNumberFormat="1" applyFont="1" applyFill="1"/>
    <xf numFmtId="0" fontId="63" fillId="2" borderId="0" xfId="0" applyFont="1" applyFill="1" applyBorder="1" applyAlignment="1">
      <alignment horizontal="left"/>
    </xf>
    <xf numFmtId="0" fontId="47" fillId="2" borderId="0" xfId="0" applyFont="1" applyFill="1" applyAlignment="1">
      <alignment horizontal="left"/>
    </xf>
    <xf numFmtId="0" fontId="57" fillId="2" borderId="0" xfId="0" applyFont="1" applyFill="1" applyBorder="1" applyAlignment="1">
      <alignment horizontal="center"/>
    </xf>
    <xf numFmtId="2" fontId="40" fillId="2" borderId="1" xfId="0" applyNumberFormat="1" applyFont="1" applyFill="1" applyBorder="1"/>
    <xf numFmtId="164" fontId="42" fillId="2" borderId="3" xfId="1" applyFont="1" applyFill="1" applyBorder="1"/>
    <xf numFmtId="166" fontId="40" fillId="2" borderId="5" xfId="3" applyNumberFormat="1" applyFont="1" applyFill="1" applyBorder="1" applyAlignment="1">
      <alignment horizontal="center" wrapText="1"/>
    </xf>
    <xf numFmtId="166" fontId="42" fillId="2" borderId="5" xfId="0" applyNumberFormat="1" applyFont="1" applyFill="1" applyBorder="1" applyAlignment="1">
      <alignment horizontal="center"/>
    </xf>
    <xf numFmtId="164" fontId="42" fillId="2" borderId="5" xfId="1" applyFont="1" applyFill="1" applyBorder="1" applyAlignment="1">
      <alignment horizontal="center"/>
    </xf>
    <xf numFmtId="2" fontId="40" fillId="2" borderId="5" xfId="0" applyNumberFormat="1" applyFont="1" applyFill="1" applyBorder="1"/>
    <xf numFmtId="164" fontId="40" fillId="2" borderId="5" xfId="1" applyNumberFormat="1" applyFont="1" applyFill="1" applyBorder="1"/>
    <xf numFmtId="164" fontId="40" fillId="2" borderId="1" xfId="3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vertical="top" wrapText="1"/>
    </xf>
    <xf numFmtId="4" fontId="40" fillId="2" borderId="5" xfId="3" applyNumberFormat="1" applyFont="1" applyFill="1" applyBorder="1" applyAlignment="1">
      <alignment horizontal="center" wrapText="1"/>
    </xf>
    <xf numFmtId="169" fontId="42" fillId="2" borderId="0" xfId="1" applyNumberFormat="1" applyFont="1" applyFill="1"/>
    <xf numFmtId="2" fontId="40" fillId="2" borderId="3" xfId="0" applyNumberFormat="1" applyFont="1" applyFill="1" applyBorder="1"/>
    <xf numFmtId="164" fontId="40" fillId="2" borderId="3" xfId="1" applyNumberFormat="1" applyFont="1" applyFill="1" applyBorder="1"/>
    <xf numFmtId="0" fontId="42" fillId="0" borderId="0" xfId="0" applyFont="1" applyAlignment="1">
      <alignment wrapText="1"/>
    </xf>
    <xf numFmtId="0" fontId="40" fillId="0" borderId="1" xfId="2" applyFont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/>
    </xf>
    <xf numFmtId="0" fontId="40" fillId="0" borderId="1" xfId="2" applyFont="1" applyFill="1" applyBorder="1" applyAlignment="1">
      <alignment horizontal="left" wrapText="1"/>
    </xf>
    <xf numFmtId="0" fontId="42" fillId="0" borderId="0" xfId="0" applyFont="1" applyAlignment="1">
      <alignment wrapText="1"/>
    </xf>
    <xf numFmtId="0" fontId="40" fillId="0" borderId="1" xfId="2" applyFont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vertical="center" wrapText="1"/>
    </xf>
    <xf numFmtId="0" fontId="40" fillId="0" borderId="1" xfId="2" applyFont="1" applyFill="1" applyBorder="1" applyAlignment="1">
      <alignment horizontal="left" wrapText="1"/>
    </xf>
    <xf numFmtId="0" fontId="40" fillId="0" borderId="1" xfId="2" applyFont="1" applyBorder="1" applyAlignment="1">
      <alignment horizontal="center" vertical="center"/>
    </xf>
    <xf numFmtId="0" fontId="40" fillId="0" borderId="1" xfId="2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61" fillId="0" borderId="0" xfId="2" applyFont="1"/>
    <xf numFmtId="0" fontId="64" fillId="0" borderId="0" xfId="0" applyFont="1"/>
    <xf numFmtId="164" fontId="40" fillId="0" borderId="51" xfId="1" applyFont="1" applyFill="1" applyBorder="1" applyAlignment="1">
      <alignment horizontal="center"/>
    </xf>
    <xf numFmtId="0" fontId="40" fillId="2" borderId="1" xfId="0" applyFont="1" applyFill="1" applyBorder="1" applyAlignment="1">
      <alignment vertical="center" wrapText="1"/>
    </xf>
    <xf numFmtId="3" fontId="40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right" vertical="center" wrapText="1"/>
    </xf>
    <xf numFmtId="3" fontId="40" fillId="2" borderId="3" xfId="0" applyNumberFormat="1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166" fontId="40" fillId="8" borderId="3" xfId="0" applyNumberFormat="1" applyFont="1" applyFill="1" applyBorder="1" applyAlignment="1">
      <alignment horizontal="center" vertical="center" wrapText="1"/>
    </xf>
    <xf numFmtId="164" fontId="40" fillId="8" borderId="3" xfId="1" applyFont="1" applyFill="1" applyBorder="1" applyAlignment="1">
      <alignment horizontal="center" wrapText="1"/>
    </xf>
    <xf numFmtId="164" fontId="40" fillId="8" borderId="3" xfId="1" applyFont="1" applyFill="1" applyBorder="1" applyAlignment="1">
      <alignment horizontal="center"/>
    </xf>
    <xf numFmtId="4" fontId="40" fillId="8" borderId="1" xfId="3" applyNumberFormat="1" applyFont="1" applyFill="1" applyBorder="1" applyAlignment="1">
      <alignment horizontal="center" vertical="center" wrapText="1"/>
    </xf>
    <xf numFmtId="166" fontId="40" fillId="8" borderId="1" xfId="0" applyNumberFormat="1" applyFont="1" applyFill="1" applyBorder="1" applyAlignment="1">
      <alignment horizontal="center" vertical="center" wrapText="1"/>
    </xf>
    <xf numFmtId="164" fontId="40" fillId="8" borderId="1" xfId="1" applyFont="1" applyFill="1" applyBorder="1" applyAlignment="1">
      <alignment horizontal="center" wrapText="1"/>
    </xf>
    <xf numFmtId="164" fontId="40" fillId="8" borderId="1" xfId="1" applyFont="1" applyFill="1" applyBorder="1" applyAlignment="1">
      <alignment horizontal="center"/>
    </xf>
    <xf numFmtId="3" fontId="40" fillId="8" borderId="1" xfId="0" applyNumberFormat="1" applyFont="1" applyFill="1" applyBorder="1" applyAlignment="1">
      <alignment horizontal="center" vertical="center" wrapText="1"/>
    </xf>
    <xf numFmtId="166" fontId="40" fillId="8" borderId="1" xfId="3" applyNumberFormat="1" applyFont="1" applyFill="1" applyBorder="1" applyAlignment="1">
      <alignment horizontal="center" wrapText="1"/>
    </xf>
    <xf numFmtId="4" fontId="40" fillId="8" borderId="1" xfId="3" applyNumberFormat="1" applyFont="1" applyFill="1" applyBorder="1" applyAlignment="1">
      <alignment horizontal="center" wrapText="1"/>
    </xf>
    <xf numFmtId="166" fontId="40" fillId="8" borderId="1" xfId="3" applyNumberFormat="1" applyFont="1" applyFill="1" applyBorder="1" applyAlignment="1">
      <alignment horizontal="center" vertical="center" wrapText="1"/>
    </xf>
    <xf numFmtId="164" fontId="40" fillId="8" borderId="3" xfId="1" applyFont="1" applyFill="1" applyBorder="1" applyAlignment="1">
      <alignment horizontal="center" vertical="center" wrapText="1"/>
    </xf>
    <xf numFmtId="3" fontId="40" fillId="8" borderId="1" xfId="0" applyNumberFormat="1" applyFont="1" applyFill="1" applyBorder="1" applyAlignment="1">
      <alignment horizontal="center" wrapText="1"/>
    </xf>
    <xf numFmtId="164" fontId="40" fillId="8" borderId="1" xfId="1" applyFont="1" applyFill="1" applyBorder="1" applyAlignment="1">
      <alignment horizontal="center" vertical="center"/>
    </xf>
    <xf numFmtId="164" fontId="40" fillId="8" borderId="1" xfId="1" applyFont="1" applyFill="1" applyBorder="1" applyAlignment="1">
      <alignment horizontal="center" vertical="center" wrapText="1"/>
    </xf>
    <xf numFmtId="4" fontId="40" fillId="8" borderId="1" xfId="0" applyNumberFormat="1" applyFont="1" applyFill="1" applyBorder="1" applyAlignment="1">
      <alignment horizontal="center" vertical="center" wrapText="1"/>
    </xf>
    <xf numFmtId="166" fontId="40" fillId="8" borderId="1" xfId="3" applyNumberFormat="1" applyFont="1" applyFill="1" applyBorder="1" applyAlignment="1">
      <alignment horizontal="center" vertical="center"/>
    </xf>
    <xf numFmtId="166" fontId="42" fillId="8" borderId="1" xfId="0" applyNumberFormat="1" applyFont="1" applyFill="1" applyBorder="1" applyAlignment="1">
      <alignment horizontal="center" vertical="center" wrapText="1"/>
    </xf>
    <xf numFmtId="166" fontId="42" fillId="8" borderId="1" xfId="3" applyNumberFormat="1" applyFont="1" applyFill="1" applyBorder="1" applyAlignment="1">
      <alignment horizontal="right" vertical="center" wrapText="1"/>
    </xf>
    <xf numFmtId="0" fontId="40" fillId="8" borderId="1" xfId="0" applyFont="1" applyFill="1" applyBorder="1" applyAlignment="1">
      <alignment vertical="center" wrapText="1"/>
    </xf>
    <xf numFmtId="164" fontId="40" fillId="8" borderId="1" xfId="1" applyFont="1" applyFill="1" applyBorder="1" applyAlignment="1">
      <alignment vertical="center" wrapText="1"/>
    </xf>
    <xf numFmtId="0" fontId="40" fillId="8" borderId="5" xfId="0" applyFont="1" applyFill="1" applyBorder="1" applyAlignment="1">
      <alignment vertical="center" wrapText="1"/>
    </xf>
    <xf numFmtId="3" fontId="40" fillId="8" borderId="5" xfId="0" applyNumberFormat="1" applyFont="1" applyFill="1" applyBorder="1" applyAlignment="1">
      <alignment horizontal="center" vertical="center" wrapText="1"/>
    </xf>
    <xf numFmtId="166" fontId="40" fillId="8" borderId="5" xfId="0" applyNumberFormat="1" applyFont="1" applyFill="1" applyBorder="1" applyAlignment="1">
      <alignment horizontal="right" vertical="center" wrapText="1"/>
    </xf>
    <xf numFmtId="4" fontId="40" fillId="8" borderId="5" xfId="3" applyNumberFormat="1" applyFont="1" applyFill="1" applyBorder="1" applyAlignment="1">
      <alignment horizontal="center" vertical="center" wrapText="1"/>
    </xf>
    <xf numFmtId="0" fontId="47" fillId="8" borderId="8" xfId="0" applyFont="1" applyFill="1" applyBorder="1" applyAlignment="1">
      <alignment horizontal="right" vertical="center" wrapText="1"/>
    </xf>
    <xf numFmtId="3" fontId="40" fillId="8" borderId="9" xfId="0" applyNumberFormat="1" applyFont="1" applyFill="1" applyBorder="1" applyAlignment="1">
      <alignment horizontal="center" vertical="center" wrapText="1"/>
    </xf>
    <xf numFmtId="4" fontId="47" fillId="8" borderId="9" xfId="0" applyNumberFormat="1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horizontal="right" vertical="center" wrapText="1"/>
    </xf>
    <xf numFmtId="3" fontId="40" fillId="8" borderId="3" xfId="0" applyNumberFormat="1" applyFont="1" applyFill="1" applyBorder="1" applyAlignment="1">
      <alignment horizontal="center" vertical="center" wrapText="1"/>
    </xf>
    <xf numFmtId="166" fontId="47" fillId="8" borderId="3" xfId="0" applyNumberFormat="1" applyFont="1" applyFill="1" applyBorder="1" applyAlignment="1">
      <alignment horizontal="center" vertical="center" wrapText="1"/>
    </xf>
    <xf numFmtId="4" fontId="47" fillId="8" borderId="3" xfId="0" applyNumberFormat="1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right" vertical="center" wrapText="1"/>
    </xf>
    <xf numFmtId="166" fontId="47" fillId="8" borderId="1" xfId="0" applyNumberFormat="1" applyFont="1" applyFill="1" applyBorder="1" applyAlignment="1">
      <alignment horizontal="center" vertical="center" wrapText="1"/>
    </xf>
    <xf numFmtId="4" fontId="47" fillId="8" borderId="1" xfId="0" applyNumberFormat="1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vertical="center" wrapText="1"/>
    </xf>
    <xf numFmtId="166" fontId="47" fillId="8" borderId="5" xfId="0" applyNumberFormat="1" applyFont="1" applyFill="1" applyBorder="1" applyAlignment="1">
      <alignment horizontal="center" vertical="center" wrapText="1"/>
    </xf>
    <xf numFmtId="4" fontId="47" fillId="8" borderId="5" xfId="0" applyNumberFormat="1" applyFont="1" applyFill="1" applyBorder="1" applyAlignment="1">
      <alignment horizontal="center" vertical="center" wrapText="1"/>
    </xf>
    <xf numFmtId="166" fontId="40" fillId="8" borderId="5" xfId="3" applyNumberFormat="1" applyFont="1" applyFill="1" applyBorder="1" applyAlignment="1">
      <alignment horizontal="center" vertical="center" wrapText="1"/>
    </xf>
    <xf numFmtId="4" fontId="40" fillId="8" borderId="3" xfId="3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3" fontId="40" fillId="2" borderId="1" xfId="0" applyNumberFormat="1" applyFont="1" applyFill="1" applyBorder="1" applyAlignment="1">
      <alignment horizontal="center" vertical="center" wrapText="1"/>
    </xf>
    <xf numFmtId="164" fontId="40" fillId="2" borderId="3" xfId="1" applyFont="1" applyFill="1" applyBorder="1" applyAlignment="1">
      <alignment horizontal="right" wrapText="1"/>
    </xf>
    <xf numFmtId="164" fontId="40" fillId="2" borderId="1" xfId="1" applyFont="1" applyFill="1" applyBorder="1" applyAlignment="1">
      <alignment horizontal="right" wrapText="1"/>
    </xf>
    <xf numFmtId="166" fontId="40" fillId="2" borderId="1" xfId="3" applyNumberFormat="1" applyFont="1" applyFill="1" applyBorder="1" applyAlignment="1">
      <alignment horizontal="right" vertical="center"/>
    </xf>
    <xf numFmtId="168" fontId="4" fillId="2" borderId="3" xfId="0" applyNumberFormat="1" applyFont="1" applyFill="1" applyBorder="1" applyAlignment="1">
      <alignment horizontal="center" vertical="center" wrapText="1"/>
    </xf>
    <xf numFmtId="0" fontId="44" fillId="2" borderId="0" xfId="0" applyFont="1" applyFill="1" applyBorder="1" applyAlignment="1"/>
    <xf numFmtId="0" fontId="44" fillId="2" borderId="0" xfId="0" applyFont="1" applyFill="1" applyAlignment="1"/>
    <xf numFmtId="0" fontId="4" fillId="6" borderId="1" xfId="0" applyFont="1" applyFill="1" applyBorder="1" applyAlignment="1">
      <alignment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164" fontId="4" fillId="6" borderId="1" xfId="1" applyFont="1" applyFill="1" applyBorder="1"/>
    <xf numFmtId="4" fontId="4" fillId="6" borderId="1" xfId="3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4" fontId="4" fillId="6" borderId="1" xfId="0" applyNumberFormat="1" applyFont="1" applyFill="1" applyBorder="1" applyAlignment="1">
      <alignment horizontal="center" vertical="center"/>
    </xf>
    <xf numFmtId="164" fontId="4" fillId="6" borderId="1" xfId="1" applyFont="1" applyFill="1" applyBorder="1" applyAlignment="1"/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/>
    </xf>
    <xf numFmtId="164" fontId="4" fillId="3" borderId="1" xfId="1" applyFont="1" applyFill="1" applyBorder="1" applyAlignment="1"/>
    <xf numFmtId="4" fontId="4" fillId="3" borderId="1" xfId="3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/>
    </xf>
    <xf numFmtId="164" fontId="4" fillId="5" borderId="1" xfId="1" applyFont="1" applyFill="1" applyBorder="1" applyAlignment="1"/>
    <xf numFmtId="164" fontId="4" fillId="5" borderId="1" xfId="1" applyFont="1" applyFill="1" applyBorder="1" applyAlignment="1">
      <alignment vertical="center"/>
    </xf>
    <xf numFmtId="4" fontId="4" fillId="5" borderId="1" xfId="3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3" fontId="3" fillId="2" borderId="0" xfId="0" applyNumberFormat="1" applyFont="1" applyFill="1"/>
    <xf numFmtId="166" fontId="4" fillId="5" borderId="3" xfId="0" applyNumberFormat="1" applyFont="1" applyFill="1" applyBorder="1" applyAlignment="1">
      <alignment horizontal="center" vertical="center" wrapText="1"/>
    </xf>
    <xf numFmtId="166" fontId="4" fillId="5" borderId="3" xfId="3" applyNumberFormat="1" applyFont="1" applyFill="1" applyBorder="1" applyAlignment="1">
      <alignment horizontal="center" vertical="center" wrapText="1"/>
    </xf>
    <xf numFmtId="4" fontId="4" fillId="5" borderId="3" xfId="3" applyNumberFormat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166" fontId="4" fillId="5" borderId="1" xfId="3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166" fontId="4" fillId="5" borderId="5" xfId="3" applyNumberFormat="1" applyFont="1" applyFill="1" applyBorder="1" applyAlignment="1">
      <alignment horizontal="center" vertical="center" wrapText="1"/>
    </xf>
    <xf numFmtId="4" fontId="4" fillId="5" borderId="5" xfId="3" applyNumberFormat="1" applyFont="1" applyFill="1" applyBorder="1" applyAlignment="1">
      <alignment horizontal="center" vertical="center" wrapText="1"/>
    </xf>
    <xf numFmtId="166" fontId="4" fillId="5" borderId="5" xfId="0" applyNumberFormat="1" applyFont="1" applyFill="1" applyBorder="1" applyAlignment="1">
      <alignment horizontal="center" vertical="center" wrapText="1"/>
    </xf>
    <xf numFmtId="164" fontId="4" fillId="5" borderId="5" xfId="1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164" fontId="4" fillId="5" borderId="1" xfId="1" applyFont="1" applyFill="1" applyBorder="1"/>
    <xf numFmtId="2" fontId="4" fillId="5" borderId="1" xfId="0" applyNumberFormat="1" applyFont="1" applyFill="1" applyBorder="1" applyAlignment="1"/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4" fontId="4" fillId="5" borderId="9" xfId="0" applyNumberFormat="1" applyFont="1" applyFill="1" applyBorder="1"/>
    <xf numFmtId="4" fontId="4" fillId="5" borderId="10" xfId="0" applyNumberFormat="1" applyFont="1" applyFill="1" applyBorder="1"/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/>
    <xf numFmtId="4" fontId="4" fillId="5" borderId="11" xfId="0" applyNumberFormat="1" applyFont="1" applyFill="1" applyBorder="1"/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/>
    <xf numFmtId="164" fontId="4" fillId="5" borderId="5" xfId="1" applyFont="1" applyFill="1" applyBorder="1"/>
    <xf numFmtId="164" fontId="4" fillId="5" borderId="5" xfId="1" applyFont="1" applyFill="1" applyBorder="1" applyAlignment="1">
      <alignment vertical="center"/>
    </xf>
    <xf numFmtId="0" fontId="34" fillId="5" borderId="15" xfId="0" applyFont="1" applyFill="1" applyBorder="1" applyAlignment="1">
      <alignment horizontal="right" vertical="center" wrapText="1"/>
    </xf>
    <xf numFmtId="4" fontId="34" fillId="5" borderId="9" xfId="0" applyNumberFormat="1" applyFont="1" applyFill="1" applyBorder="1" applyAlignment="1">
      <alignment horizontal="center" vertical="center"/>
    </xf>
    <xf numFmtId="4" fontId="34" fillId="5" borderId="10" xfId="0" applyNumberFormat="1" applyFont="1" applyFill="1" applyBorder="1" applyAlignment="1">
      <alignment horizontal="center" vertical="center"/>
    </xf>
    <xf numFmtId="4" fontId="4" fillId="5" borderId="11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right" wrapText="1"/>
    </xf>
    <xf numFmtId="4" fontId="4" fillId="2" borderId="1" xfId="1" applyNumberFormat="1" applyFont="1" applyFill="1" applyBorder="1" applyAlignment="1">
      <alignment horizontal="right" wrapText="1"/>
    </xf>
    <xf numFmtId="4" fontId="4" fillId="2" borderId="1" xfId="1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 wrapText="1"/>
    </xf>
    <xf numFmtId="4" fontId="4" fillId="2" borderId="1" xfId="3" applyNumberFormat="1" applyFont="1" applyFill="1" applyBorder="1" applyAlignment="1">
      <alignment horizontal="right" vertical="center" wrapText="1"/>
    </xf>
    <xf numFmtId="4" fontId="3" fillId="2" borderId="1" xfId="3" applyNumberFormat="1" applyFont="1" applyFill="1" applyBorder="1" applyAlignment="1">
      <alignment horizontal="right" vertical="center" wrapText="1"/>
    </xf>
    <xf numFmtId="0" fontId="42" fillId="0" borderId="1" xfId="0" applyFont="1" applyBorder="1" applyAlignment="1">
      <alignment wrapText="1"/>
    </xf>
    <xf numFmtId="4" fontId="65" fillId="0" borderId="69" xfId="0" applyNumberFormat="1" applyFont="1" applyBorder="1" applyAlignment="1" applyProtection="1">
      <alignment horizontal="right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Font="1" applyFill="1" applyBorder="1"/>
    <xf numFmtId="3" fontId="4" fillId="0" borderId="1" xfId="0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/>
    </xf>
    <xf numFmtId="166" fontId="4" fillId="0" borderId="1" xfId="3" applyNumberFormat="1" applyFont="1" applyFill="1" applyBorder="1" applyAlignment="1">
      <alignment horizontal="center" vertical="center"/>
    </xf>
    <xf numFmtId="166" fontId="45" fillId="0" borderId="1" xfId="0" applyNumberFormat="1" applyFont="1" applyFill="1" applyBorder="1" applyAlignment="1">
      <alignment horizontal="center" vertical="center" wrapText="1"/>
    </xf>
    <xf numFmtId="166" fontId="45" fillId="0" borderId="1" xfId="3" applyNumberFormat="1" applyFont="1" applyFill="1" applyBorder="1" applyAlignment="1">
      <alignment horizontal="center" vertical="center" wrapText="1"/>
    </xf>
    <xf numFmtId="4" fontId="45" fillId="0" borderId="1" xfId="3" applyNumberFormat="1" applyFont="1" applyFill="1" applyBorder="1" applyAlignment="1">
      <alignment horizontal="center" vertical="center" wrapText="1"/>
    </xf>
    <xf numFmtId="164" fontId="45" fillId="0" borderId="1" xfId="1" applyFont="1" applyFill="1" applyBorder="1"/>
    <xf numFmtId="164" fontId="4" fillId="0" borderId="1" xfId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horizontal="center" vertical="center" wrapText="1"/>
    </xf>
    <xf numFmtId="166" fontId="4" fillId="0" borderId="11" xfId="3" applyNumberFormat="1" applyFont="1" applyFill="1" applyBorder="1" applyAlignment="1">
      <alignment horizontal="center" vertical="center" wrapText="1"/>
    </xf>
    <xf numFmtId="4" fontId="4" fillId="0" borderId="11" xfId="3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vertical="center"/>
    </xf>
    <xf numFmtId="4" fontId="34" fillId="0" borderId="9" xfId="0" applyNumberFormat="1" applyFont="1" applyFill="1" applyBorder="1" applyAlignment="1">
      <alignment horizontal="center" vertical="center" wrapText="1"/>
    </xf>
    <xf numFmtId="166" fontId="34" fillId="0" borderId="3" xfId="0" applyNumberFormat="1" applyFont="1" applyFill="1" applyBorder="1" applyAlignment="1">
      <alignment horizontal="center" vertical="center" wrapText="1"/>
    </xf>
    <xf numFmtId="4" fontId="34" fillId="0" borderId="3" xfId="0" applyNumberFormat="1" applyFont="1" applyFill="1" applyBorder="1" applyAlignment="1">
      <alignment horizontal="center" vertical="center" wrapText="1"/>
    </xf>
    <xf numFmtId="166" fontId="34" fillId="0" borderId="5" xfId="0" applyNumberFormat="1" applyFont="1" applyFill="1" applyBorder="1" applyAlignment="1">
      <alignment horizontal="center" vertical="center" wrapText="1"/>
    </xf>
    <xf numFmtId="4" fontId="34" fillId="0" borderId="5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4" fontId="65" fillId="0" borderId="70" xfId="0" applyNumberFormat="1" applyFont="1" applyBorder="1" applyAlignment="1" applyProtection="1">
      <alignment horizontal="right" vertical="center" wrapText="1"/>
    </xf>
    <xf numFmtId="164" fontId="42" fillId="0" borderId="5" xfId="1" applyFont="1" applyBorder="1"/>
    <xf numFmtId="0" fontId="42" fillId="0" borderId="22" xfId="0" applyFont="1" applyBorder="1" applyAlignment="1">
      <alignment wrapText="1"/>
    </xf>
    <xf numFmtId="164" fontId="42" fillId="0" borderId="22" xfId="1" applyFont="1" applyBorder="1"/>
    <xf numFmtId="164" fontId="42" fillId="0" borderId="22" xfId="0" applyNumberFormat="1" applyFont="1" applyBorder="1"/>
    <xf numFmtId="0" fontId="42" fillId="0" borderId="22" xfId="0" applyFont="1" applyBorder="1"/>
    <xf numFmtId="0" fontId="42" fillId="0" borderId="27" xfId="0" applyFont="1" applyBorder="1"/>
    <xf numFmtId="0" fontId="42" fillId="0" borderId="20" xfId="0" applyFont="1" applyBorder="1"/>
    <xf numFmtId="0" fontId="42" fillId="0" borderId="29" xfId="0" applyFont="1" applyBorder="1"/>
    <xf numFmtId="164" fontId="42" fillId="0" borderId="29" xfId="1" applyFont="1" applyBorder="1"/>
    <xf numFmtId="164" fontId="42" fillId="0" borderId="29" xfId="0" applyNumberFormat="1" applyFont="1" applyBorder="1"/>
    <xf numFmtId="0" fontId="42" fillId="0" borderId="30" xfId="0" applyFont="1" applyBorder="1"/>
    <xf numFmtId="164" fontId="42" fillId="0" borderId="16" xfId="1" applyFont="1" applyBorder="1"/>
    <xf numFmtId="164" fontId="42" fillId="0" borderId="11" xfId="1" applyFont="1" applyBorder="1"/>
    <xf numFmtId="164" fontId="42" fillId="0" borderId="41" xfId="1" applyFont="1" applyBorder="1"/>
    <xf numFmtId="0" fontId="42" fillId="0" borderId="26" xfId="0" applyFont="1" applyBorder="1" applyAlignment="1">
      <alignment wrapText="1"/>
    </xf>
    <xf numFmtId="0" fontId="42" fillId="0" borderId="23" xfId="0" applyFont="1" applyBorder="1"/>
    <xf numFmtId="164" fontId="42" fillId="0" borderId="16" xfId="0" applyNumberFormat="1" applyFont="1" applyBorder="1"/>
    <xf numFmtId="0" fontId="42" fillId="0" borderId="59" xfId="0" applyFont="1" applyBorder="1"/>
    <xf numFmtId="0" fontId="42" fillId="0" borderId="28" xfId="0" applyFont="1" applyBorder="1"/>
    <xf numFmtId="0" fontId="42" fillId="6" borderId="26" xfId="0" applyFont="1" applyFill="1" applyBorder="1" applyAlignment="1">
      <alignment wrapText="1"/>
    </xf>
    <xf numFmtId="164" fontId="42" fillId="6" borderId="22" xfId="1" applyFont="1" applyFill="1" applyBorder="1"/>
    <xf numFmtId="164" fontId="42" fillId="6" borderId="16" xfId="1" applyFont="1" applyFill="1" applyBorder="1"/>
    <xf numFmtId="164" fontId="42" fillId="6" borderId="16" xfId="0" applyNumberFormat="1" applyFont="1" applyFill="1" applyBorder="1"/>
    <xf numFmtId="0" fontId="42" fillId="6" borderId="22" xfId="0" applyFont="1" applyFill="1" applyBorder="1"/>
    <xf numFmtId="0" fontId="42" fillId="6" borderId="27" xfId="0" applyFont="1" applyFill="1" applyBorder="1"/>
    <xf numFmtId="4" fontId="65" fillId="6" borderId="69" xfId="0" applyNumberFormat="1" applyFont="1" applyFill="1" applyBorder="1" applyAlignment="1" applyProtection="1">
      <alignment horizontal="right" vertical="center" wrapText="1"/>
    </xf>
    <xf numFmtId="43" fontId="42" fillId="6" borderId="0" xfId="0" applyNumberFormat="1" applyFont="1" applyFill="1"/>
    <xf numFmtId="0" fontId="42" fillId="6" borderId="0" xfId="0" applyFont="1" applyFill="1"/>
    <xf numFmtId="0" fontId="42" fillId="6" borderId="23" xfId="0" applyFont="1" applyFill="1" applyBorder="1"/>
    <xf numFmtId="164" fontId="42" fillId="6" borderId="1" xfId="1" applyFont="1" applyFill="1" applyBorder="1"/>
    <xf numFmtId="164" fontId="42" fillId="6" borderId="1" xfId="0" applyNumberFormat="1" applyFont="1" applyFill="1" applyBorder="1"/>
    <xf numFmtId="0" fontId="42" fillId="6" borderId="1" xfId="0" applyFont="1" applyFill="1" applyBorder="1"/>
    <xf numFmtId="0" fontId="42" fillId="6" borderId="20" xfId="0" applyFont="1" applyFill="1" applyBorder="1"/>
    <xf numFmtId="0" fontId="40" fillId="0" borderId="1" xfId="2" applyFont="1" applyFill="1" applyBorder="1" applyAlignment="1">
      <alignment horizontal="left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54" fillId="0" borderId="19" xfId="0" applyFont="1" applyBorder="1"/>
    <xf numFmtId="166" fontId="54" fillId="0" borderId="0" xfId="0" applyNumberFormat="1" applyFont="1" applyBorder="1"/>
    <xf numFmtId="164" fontId="40" fillId="2" borderId="5" xfId="3" applyFont="1" applyFill="1" applyBorder="1" applyAlignment="1">
      <alignment horizontal="center" wrapText="1"/>
    </xf>
    <xf numFmtId="0" fontId="61" fillId="0" borderId="15" xfId="2" applyFont="1" applyFill="1" applyBorder="1" applyAlignment="1">
      <alignment horizontal="center"/>
    </xf>
    <xf numFmtId="164" fontId="61" fillId="0" borderId="15" xfId="1" applyFont="1" applyFill="1" applyBorder="1" applyAlignment="1">
      <alignment horizontal="center"/>
    </xf>
    <xf numFmtId="49" fontId="42" fillId="0" borderId="1" xfId="2" applyNumberFormat="1" applyFont="1" applyFill="1" applyBorder="1" applyAlignment="1">
      <alignment horizontal="center"/>
    </xf>
    <xf numFmtId="0" fontId="42" fillId="0" borderId="1" xfId="2" applyFont="1" applyFill="1" applyBorder="1" applyAlignment="1">
      <alignment horizontal="left" wrapText="1"/>
    </xf>
    <xf numFmtId="0" fontId="42" fillId="0" borderId="1" xfId="2" applyFont="1" applyFill="1" applyBorder="1" applyAlignment="1">
      <alignment horizontal="center"/>
    </xf>
    <xf numFmtId="2" fontId="42" fillId="0" borderId="1" xfId="2" applyNumberFormat="1" applyFont="1" applyFill="1" applyBorder="1" applyAlignment="1">
      <alignment horizontal="center"/>
    </xf>
    <xf numFmtId="164" fontId="42" fillId="2" borderId="1" xfId="3" applyFont="1" applyFill="1" applyBorder="1" applyAlignment="1">
      <alignment horizontal="left" wrapText="1"/>
    </xf>
    <xf numFmtId="9" fontId="42" fillId="0" borderId="1" xfId="2" applyNumberFormat="1" applyFont="1" applyFill="1" applyBorder="1" applyAlignment="1">
      <alignment horizontal="center"/>
    </xf>
    <xf numFmtId="164" fontId="42" fillId="0" borderId="1" xfId="3" applyFont="1" applyFill="1" applyBorder="1" applyAlignment="1">
      <alignment horizontal="center"/>
    </xf>
    <xf numFmtId="2" fontId="42" fillId="0" borderId="1" xfId="3" applyNumberFormat="1" applyFont="1" applyFill="1" applyBorder="1" applyAlignment="1">
      <alignment horizontal="center"/>
    </xf>
    <xf numFmtId="164" fontId="42" fillId="0" borderId="1" xfId="2" applyNumberFormat="1" applyFont="1" applyFill="1" applyBorder="1" applyAlignment="1">
      <alignment horizontal="center"/>
    </xf>
    <xf numFmtId="164" fontId="54" fillId="0" borderId="0" xfId="1" applyFont="1" applyBorder="1"/>
    <xf numFmtId="3" fontId="40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vertical="center" wrapText="1"/>
    </xf>
    <xf numFmtId="3" fontId="40" fillId="2" borderId="3" xfId="0" applyNumberFormat="1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0" fontId="40" fillId="6" borderId="5" xfId="0" applyFont="1" applyFill="1" applyBorder="1" applyAlignment="1">
      <alignment vertical="center" wrapText="1"/>
    </xf>
    <xf numFmtId="3" fontId="40" fillId="6" borderId="5" xfId="0" applyNumberFormat="1" applyFont="1" applyFill="1" applyBorder="1" applyAlignment="1">
      <alignment horizontal="center" vertical="center" wrapText="1"/>
    </xf>
    <xf numFmtId="166" fontId="40" fillId="6" borderId="5" xfId="3" applyNumberFormat="1" applyFont="1" applyFill="1" applyBorder="1" applyAlignment="1">
      <alignment horizontal="center" vertical="center" wrapText="1"/>
    </xf>
    <xf numFmtId="4" fontId="40" fillId="6" borderId="11" xfId="3" applyNumberFormat="1" applyFont="1" applyFill="1" applyBorder="1" applyAlignment="1">
      <alignment horizontal="center" vertical="center" wrapText="1"/>
    </xf>
    <xf numFmtId="4" fontId="40" fillId="6" borderId="5" xfId="3" applyNumberFormat="1" applyFont="1" applyFill="1" applyBorder="1" applyAlignment="1">
      <alignment horizontal="center" vertical="center" wrapText="1"/>
    </xf>
    <xf numFmtId="164" fontId="40" fillId="6" borderId="5" xfId="1" applyFont="1" applyFill="1" applyBorder="1" applyAlignment="1">
      <alignment vertical="center" wrapText="1"/>
    </xf>
    <xf numFmtId="4" fontId="40" fillId="6" borderId="1" xfId="3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vertical="center" wrapText="1"/>
    </xf>
    <xf numFmtId="3" fontId="40" fillId="6" borderId="1" xfId="0" applyNumberFormat="1" applyFont="1" applyFill="1" applyBorder="1" applyAlignment="1">
      <alignment horizontal="center" vertical="center" wrapText="1"/>
    </xf>
    <xf numFmtId="166" fontId="40" fillId="6" borderId="1" xfId="0" applyNumberFormat="1" applyFont="1" applyFill="1" applyBorder="1" applyAlignment="1">
      <alignment horizontal="center" vertical="center" wrapText="1"/>
    </xf>
    <xf numFmtId="166" fontId="40" fillId="6" borderId="1" xfId="3" applyNumberFormat="1" applyFont="1" applyFill="1" applyBorder="1" applyAlignment="1">
      <alignment horizontal="center" vertical="center" wrapText="1"/>
    </xf>
    <xf numFmtId="164" fontId="40" fillId="6" borderId="1" xfId="1" applyFont="1" applyFill="1" applyBorder="1" applyAlignment="1">
      <alignment vertical="center" wrapText="1"/>
    </xf>
    <xf numFmtId="164" fontId="40" fillId="6" borderId="1" xfId="1" applyFont="1" applyFill="1" applyBorder="1" applyAlignment="1">
      <alignment horizontal="right" vertical="center" wrapText="1"/>
    </xf>
    <xf numFmtId="164" fontId="40" fillId="6" borderId="3" xfId="1" applyFont="1" applyFill="1" applyBorder="1" applyAlignment="1">
      <alignment horizontal="center" vertical="center" wrapText="1"/>
    </xf>
    <xf numFmtId="164" fontId="40" fillId="6" borderId="1" xfId="1" applyFont="1" applyFill="1" applyBorder="1" applyAlignment="1">
      <alignment horizontal="center" vertical="center" wrapText="1"/>
    </xf>
    <xf numFmtId="164" fontId="40" fillId="6" borderId="1" xfId="1" applyFont="1" applyFill="1" applyBorder="1" applyAlignment="1">
      <alignment horizontal="center"/>
    </xf>
    <xf numFmtId="164" fontId="42" fillId="6" borderId="0" xfId="0" applyNumberFormat="1" applyFont="1" applyFill="1"/>
    <xf numFmtId="0" fontId="42" fillId="6" borderId="1" xfId="0" applyFont="1" applyFill="1" applyBorder="1" applyAlignment="1">
      <alignment horizontal="center" vertical="center" wrapText="1"/>
    </xf>
    <xf numFmtId="0" fontId="40" fillId="0" borderId="0" xfId="2" applyFont="1" applyAlignment="1">
      <alignment wrapText="1"/>
    </xf>
    <xf numFmtId="0" fontId="40" fillId="0" borderId="1" xfId="2" applyFont="1" applyBorder="1" applyAlignment="1">
      <alignment horizontal="center" vertical="center" wrapText="1"/>
    </xf>
    <xf numFmtId="170" fontId="4" fillId="2" borderId="1" xfId="1" applyNumberFormat="1" applyFont="1" applyFill="1" applyBorder="1" applyAlignment="1">
      <alignment horizontal="center"/>
    </xf>
    <xf numFmtId="0" fontId="68" fillId="0" borderId="5" xfId="0" applyFont="1" applyBorder="1" applyAlignment="1">
      <alignment vertical="center"/>
    </xf>
    <xf numFmtId="0" fontId="69" fillId="0" borderId="5" xfId="0" applyFont="1" applyBorder="1" applyAlignment="1">
      <alignment horizontal="center"/>
    </xf>
    <xf numFmtId="0" fontId="69" fillId="0" borderId="5" xfId="0" applyFont="1" applyBorder="1" applyAlignment="1">
      <alignment horizontal="center" vertical="center"/>
    </xf>
    <xf numFmtId="0" fontId="61" fillId="0" borderId="1" xfId="0" applyFont="1" applyBorder="1" applyAlignment="1">
      <alignment horizontal="left" vertical="center" wrapText="1"/>
    </xf>
    <xf numFmtId="4" fontId="61" fillId="0" borderId="1" xfId="0" applyNumberFormat="1" applyFont="1" applyBorder="1" applyAlignment="1">
      <alignment horizontal="center" vertical="center"/>
    </xf>
    <xf numFmtId="0" fontId="61" fillId="0" borderId="5" xfId="0" applyFont="1" applyBorder="1" applyAlignment="1">
      <alignment horizontal="left" vertical="center" wrapText="1"/>
    </xf>
    <xf numFmtId="4" fontId="61" fillId="0" borderId="5" xfId="0" applyNumberFormat="1" applyFont="1" applyBorder="1" applyAlignment="1">
      <alignment horizontal="center" vertical="center"/>
    </xf>
    <xf numFmtId="0" fontId="61" fillId="0" borderId="22" xfId="0" applyFont="1" applyBorder="1" applyAlignment="1">
      <alignment horizontal="left" vertical="center" wrapText="1"/>
    </xf>
    <xf numFmtId="4" fontId="61" fillId="0" borderId="22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29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center" vertical="center"/>
    </xf>
    <xf numFmtId="0" fontId="68" fillId="0" borderId="22" xfId="0" applyFont="1" applyBorder="1" applyAlignment="1">
      <alignment horizontal="left" wrapText="1"/>
    </xf>
    <xf numFmtId="4" fontId="61" fillId="0" borderId="22" xfId="0" applyNumberFormat="1" applyFont="1" applyBorder="1" applyAlignment="1">
      <alignment horizontal="center"/>
    </xf>
    <xf numFmtId="0" fontId="68" fillId="0" borderId="1" xfId="0" applyFont="1" applyBorder="1" applyAlignment="1">
      <alignment horizontal="left"/>
    </xf>
    <xf numFmtId="4" fontId="61" fillId="0" borderId="1" xfId="0" applyNumberFormat="1" applyFont="1" applyBorder="1" applyAlignment="1">
      <alignment horizontal="center"/>
    </xf>
    <xf numFmtId="0" fontId="68" fillId="0" borderId="29" xfId="0" applyFont="1" applyBorder="1" applyAlignment="1">
      <alignment horizontal="left"/>
    </xf>
    <xf numFmtId="4" fontId="61" fillId="0" borderId="29" xfId="0" applyNumberFormat="1" applyFont="1" applyBorder="1" applyAlignment="1">
      <alignment horizontal="center"/>
    </xf>
    <xf numFmtId="2" fontId="70" fillId="0" borderId="3" xfId="0" applyNumberFormat="1" applyFont="1" applyBorder="1" applyAlignment="1">
      <alignment horizontal="center"/>
    </xf>
    <xf numFmtId="0" fontId="0" fillId="0" borderId="0" xfId="0" applyBorder="1"/>
    <xf numFmtId="0" fontId="68" fillId="0" borderId="0" xfId="0" applyFont="1" applyBorder="1" applyAlignment="1">
      <alignment horizontal="center"/>
    </xf>
    <xf numFmtId="0" fontId="47" fillId="0" borderId="0" xfId="0" applyFont="1"/>
    <xf numFmtId="0" fontId="40" fillId="0" borderId="0" xfId="0" applyFont="1"/>
    <xf numFmtId="164" fontId="4" fillId="0" borderId="3" xfId="1" applyNumberFormat="1" applyFont="1" applyFill="1" applyBorder="1" applyAlignment="1">
      <alignment horizontal="right" vertical="center" wrapText="1"/>
    </xf>
    <xf numFmtId="0" fontId="4" fillId="0" borderId="0" xfId="2" applyFont="1" applyFill="1"/>
    <xf numFmtId="0" fontId="3" fillId="0" borderId="0" xfId="0" applyFont="1" applyFill="1"/>
    <xf numFmtId="49" fontId="4" fillId="0" borderId="1" xfId="2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34" fillId="0" borderId="0" xfId="0" applyFont="1" applyFill="1" applyBorder="1" applyAlignment="1">
      <alignment horizontal="center"/>
    </xf>
    <xf numFmtId="0" fontId="32" fillId="0" borderId="0" xfId="0" applyFont="1" applyFill="1" applyAlignment="1"/>
    <xf numFmtId="165" fontId="4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vertical="top" wrapText="1"/>
    </xf>
    <xf numFmtId="0" fontId="3" fillId="0" borderId="3" xfId="0" applyFont="1" applyFill="1" applyBorder="1"/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wrapText="1"/>
    </xf>
    <xf numFmtId="166" fontId="4" fillId="0" borderId="1" xfId="3" applyNumberFormat="1" applyFont="1" applyFill="1" applyBorder="1" applyAlignment="1">
      <alignment horizontal="center" wrapText="1"/>
    </xf>
    <xf numFmtId="4" fontId="4" fillId="0" borderId="1" xfId="3" applyNumberFormat="1" applyFont="1" applyFill="1" applyBorder="1" applyAlignment="1">
      <alignment horizontal="center" wrapText="1"/>
    </xf>
    <xf numFmtId="164" fontId="4" fillId="0" borderId="1" xfId="1" applyFont="1" applyFill="1" applyBorder="1" applyAlignment="1"/>
    <xf numFmtId="2" fontId="3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center" wrapText="1"/>
    </xf>
    <xf numFmtId="2" fontId="3" fillId="0" borderId="5" xfId="0" applyNumberFormat="1" applyFont="1" applyFill="1" applyBorder="1"/>
    <xf numFmtId="0" fontId="4" fillId="0" borderId="8" xfId="0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wrapText="1"/>
    </xf>
    <xf numFmtId="4" fontId="4" fillId="0" borderId="9" xfId="0" applyNumberFormat="1" applyFont="1" applyFill="1" applyBorder="1" applyAlignment="1">
      <alignment horizontal="center" wrapText="1"/>
    </xf>
    <xf numFmtId="0" fontId="3" fillId="0" borderId="10" xfId="0" applyFont="1" applyFill="1" applyBorder="1"/>
    <xf numFmtId="0" fontId="4" fillId="0" borderId="11" xfId="0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/>
    <xf numFmtId="0" fontId="34" fillId="0" borderId="8" xfId="0" applyFont="1" applyFill="1" applyBorder="1" applyAlignment="1">
      <alignment horizontal="right" vertical="center" wrapText="1"/>
    </xf>
    <xf numFmtId="166" fontId="34" fillId="0" borderId="9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34" fillId="0" borderId="8" xfId="0" applyFont="1" applyFill="1" applyBorder="1" applyAlignment="1">
      <alignment vertical="center" wrapText="1"/>
    </xf>
    <xf numFmtId="3" fontId="34" fillId="0" borderId="9" xfId="0" applyNumberFormat="1" applyFont="1" applyFill="1" applyBorder="1" applyAlignment="1">
      <alignment horizontal="center" vertical="center" wrapText="1"/>
    </xf>
    <xf numFmtId="4" fontId="34" fillId="0" borderId="1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/>
    <xf numFmtId="166" fontId="4" fillId="0" borderId="1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/>
    <xf numFmtId="164" fontId="4" fillId="0" borderId="11" xfId="1" applyNumberFormat="1" applyFont="1" applyFill="1" applyBorder="1"/>
    <xf numFmtId="4" fontId="3" fillId="0" borderId="0" xfId="0" applyNumberFormat="1" applyFont="1" applyFill="1"/>
    <xf numFmtId="0" fontId="4" fillId="0" borderId="3" xfId="0" applyFont="1" applyFill="1" applyBorder="1" applyAlignment="1">
      <alignment vertical="center" wrapText="1"/>
    </xf>
    <xf numFmtId="166" fontId="4" fillId="0" borderId="3" xfId="0" applyNumberFormat="1" applyFont="1" applyFill="1" applyBorder="1" applyAlignment="1">
      <alignment horizontal="right" vertical="center" wrapText="1"/>
    </xf>
    <xf numFmtId="166" fontId="4" fillId="0" borderId="3" xfId="3" applyNumberFormat="1" applyFont="1" applyFill="1" applyBorder="1" applyAlignment="1">
      <alignment horizontal="right" vertical="center" wrapText="1"/>
    </xf>
    <xf numFmtId="164" fontId="4" fillId="0" borderId="3" xfId="3" applyFont="1" applyFill="1" applyBorder="1" applyAlignment="1">
      <alignment horizontal="right" vertical="center" wrapText="1"/>
    </xf>
    <xf numFmtId="4" fontId="4" fillId="0" borderId="3" xfId="3" applyNumberFormat="1" applyFont="1" applyFill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/>
    </xf>
    <xf numFmtId="4" fontId="4" fillId="0" borderId="1" xfId="3" applyNumberFormat="1" applyFont="1" applyFill="1" applyBorder="1" applyAlignment="1">
      <alignment horizontal="right" vertical="center" wrapText="1"/>
    </xf>
    <xf numFmtId="2" fontId="3" fillId="0" borderId="3" xfId="0" applyNumberFormat="1" applyFont="1" applyFill="1" applyBorder="1"/>
    <xf numFmtId="2" fontId="3" fillId="0" borderId="0" xfId="0" applyNumberFormat="1" applyFont="1" applyFill="1"/>
    <xf numFmtId="3" fontId="4" fillId="0" borderId="1" xfId="0" applyNumberFormat="1" applyFont="1" applyFill="1" applyBorder="1" applyAlignment="1">
      <alignment horizontal="right" vertical="center" wrapText="1"/>
    </xf>
    <xf numFmtId="166" fontId="4" fillId="0" borderId="1" xfId="3" applyNumberFormat="1" applyFont="1" applyFill="1" applyBorder="1" applyAlignment="1">
      <alignment horizontal="right" vertical="center" wrapText="1"/>
    </xf>
    <xf numFmtId="164" fontId="4" fillId="0" borderId="1" xfId="3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wrapText="1"/>
    </xf>
    <xf numFmtId="164" fontId="3" fillId="0" borderId="0" xfId="0" applyNumberFormat="1" applyFont="1" applyFill="1"/>
    <xf numFmtId="164" fontId="4" fillId="0" borderId="11" xfId="1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right" vertical="center"/>
    </xf>
    <xf numFmtId="0" fontId="3" fillId="0" borderId="1" xfId="0" applyFont="1" applyFill="1" applyBorder="1"/>
    <xf numFmtId="3" fontId="4" fillId="0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166" fontId="4" fillId="0" borderId="5" xfId="3" applyNumberFormat="1" applyFont="1" applyFill="1" applyBorder="1" applyAlignment="1">
      <alignment horizontal="right" vertical="center" wrapText="1"/>
    </xf>
    <xf numFmtId="164" fontId="4" fillId="0" borderId="5" xfId="3" applyFont="1" applyFill="1" applyBorder="1" applyAlignment="1">
      <alignment horizontal="right" vertical="center" wrapText="1"/>
    </xf>
    <xf numFmtId="4" fontId="4" fillId="0" borderId="5" xfId="3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center" wrapText="1"/>
    </xf>
    <xf numFmtId="166" fontId="4" fillId="0" borderId="11" xfId="0" applyNumberFormat="1" applyFont="1" applyFill="1" applyBorder="1" applyAlignment="1">
      <alignment horizontal="right" vertical="center" wrapText="1"/>
    </xf>
    <xf numFmtId="166" fontId="4" fillId="0" borderId="11" xfId="3" applyNumberFormat="1" applyFont="1" applyFill="1" applyBorder="1" applyAlignment="1">
      <alignment horizontal="right" vertical="center" wrapText="1"/>
    </xf>
    <xf numFmtId="164" fontId="4" fillId="0" borderId="11" xfId="3" applyFont="1" applyFill="1" applyBorder="1" applyAlignment="1">
      <alignment horizontal="right" vertical="center" wrapText="1"/>
    </xf>
    <xf numFmtId="4" fontId="4" fillId="0" borderId="11" xfId="3" applyNumberFormat="1" applyFont="1" applyFill="1" applyBorder="1" applyAlignment="1">
      <alignment horizontal="right" vertical="center" wrapText="1"/>
    </xf>
    <xf numFmtId="164" fontId="4" fillId="0" borderId="11" xfId="1" applyFont="1" applyFill="1" applyBorder="1" applyAlignment="1">
      <alignment horizontal="right" vertical="center"/>
    </xf>
    <xf numFmtId="164" fontId="4" fillId="0" borderId="11" xfId="1" applyFont="1" applyFill="1" applyBorder="1" applyAlignment="1"/>
    <xf numFmtId="0" fontId="3" fillId="0" borderId="6" xfId="0" applyFont="1" applyFill="1" applyBorder="1"/>
    <xf numFmtId="4" fontId="4" fillId="0" borderId="9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4" fillId="0" borderId="7" xfId="0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3" xfId="3" applyNumberFormat="1" applyFont="1" applyFill="1" applyBorder="1" applyAlignment="1">
      <alignment horizontal="center" vertical="center" wrapText="1"/>
    </xf>
    <xf numFmtId="164" fontId="4" fillId="0" borderId="3" xfId="3" applyFont="1" applyFill="1" applyBorder="1" applyAlignment="1">
      <alignment horizontal="center" vertical="center" wrapText="1"/>
    </xf>
    <xf numFmtId="4" fontId="4" fillId="0" borderId="3" xfId="3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3" applyNumberFormat="1" applyFont="1" applyFill="1" applyBorder="1" applyAlignment="1">
      <alignment horizontal="center" vertical="center" wrapText="1"/>
    </xf>
    <xf numFmtId="164" fontId="4" fillId="0" borderId="5" xfId="3" applyFont="1" applyFill="1" applyBorder="1" applyAlignment="1">
      <alignment horizontal="center" vertical="center" wrapText="1"/>
    </xf>
    <xf numFmtId="4" fontId="4" fillId="0" borderId="5" xfId="3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vertical="top" wrapText="1"/>
    </xf>
    <xf numFmtId="0" fontId="34" fillId="0" borderId="18" xfId="0" applyFont="1" applyFill="1" applyBorder="1" applyAlignment="1">
      <alignment vertical="center" wrapText="1"/>
    </xf>
    <xf numFmtId="3" fontId="34" fillId="0" borderId="16" xfId="0" applyNumberFormat="1" applyFont="1" applyFill="1" applyBorder="1" applyAlignment="1">
      <alignment horizontal="center" vertical="center" wrapText="1"/>
    </xf>
    <xf numFmtId="4" fontId="34" fillId="0" borderId="16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/>
    <xf numFmtId="0" fontId="35" fillId="0" borderId="0" xfId="0" applyFont="1" applyFill="1"/>
    <xf numFmtId="0" fontId="4" fillId="0" borderId="15" xfId="0" applyFont="1" applyFill="1" applyBorder="1" applyAlignment="1">
      <alignment vertical="top" wrapText="1"/>
    </xf>
    <xf numFmtId="0" fontId="34" fillId="0" borderId="13" xfId="0" applyFont="1" applyFill="1" applyBorder="1" applyAlignment="1">
      <alignment vertical="center" wrapText="1"/>
    </xf>
    <xf numFmtId="49" fontId="34" fillId="0" borderId="9" xfId="0" applyNumberFormat="1" applyFont="1" applyFill="1" applyBorder="1" applyAlignment="1">
      <alignment horizontal="center" vertical="center" wrapText="1"/>
    </xf>
    <xf numFmtId="164" fontId="3" fillId="0" borderId="0" xfId="1" applyFont="1" applyFill="1"/>
    <xf numFmtId="43" fontId="3" fillId="0" borderId="0" xfId="0" applyNumberFormat="1" applyFont="1" applyFill="1"/>
    <xf numFmtId="4" fontId="4" fillId="0" borderId="1" xfId="0" applyNumberFormat="1" applyFont="1" applyFill="1" applyBorder="1" applyAlignment="1">
      <alignment horizontal="center" wrapText="1"/>
    </xf>
    <xf numFmtId="164" fontId="4" fillId="0" borderId="1" xfId="1" applyFont="1" applyFill="1" applyBorder="1" applyAlignment="1">
      <alignment horizontal="center" wrapText="1"/>
    </xf>
    <xf numFmtId="0" fontId="3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167" fontId="3" fillId="0" borderId="0" xfId="0" applyNumberFormat="1" applyFont="1" applyFill="1"/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4" fillId="0" borderId="0" xfId="1" applyFont="1" applyFill="1"/>
    <xf numFmtId="0" fontId="4" fillId="0" borderId="0" xfId="0" applyFont="1" applyFill="1"/>
    <xf numFmtId="0" fontId="4" fillId="0" borderId="1" xfId="0" applyFont="1" applyFill="1" applyBorder="1" applyAlignment="1">
      <alignment vertical="top" wrapText="1"/>
    </xf>
    <xf numFmtId="164" fontId="4" fillId="0" borderId="1" xfId="1" applyFont="1" applyFill="1" applyBorder="1" applyAlignment="1">
      <alignment horizontal="center"/>
    </xf>
    <xf numFmtId="164" fontId="3" fillId="4" borderId="0" xfId="0" applyNumberFormat="1" applyFont="1" applyFill="1"/>
    <xf numFmtId="0" fontId="4" fillId="0" borderId="5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/>
    </xf>
    <xf numFmtId="164" fontId="4" fillId="0" borderId="5" xfId="1" applyFont="1" applyFill="1" applyBorder="1" applyAlignment="1"/>
    <xf numFmtId="164" fontId="3" fillId="0" borderId="5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"/>
    </xf>
    <xf numFmtId="164" fontId="4" fillId="0" borderId="3" xfId="1" applyFont="1" applyFill="1" applyBorder="1"/>
    <xf numFmtId="164" fontId="3" fillId="0" borderId="3" xfId="0" applyNumberFormat="1" applyFont="1" applyFill="1" applyBorder="1"/>
    <xf numFmtId="0" fontId="4" fillId="0" borderId="5" xfId="0" applyFont="1" applyFill="1" applyBorder="1" applyAlignment="1">
      <alignment horizontal="center"/>
    </xf>
    <xf numFmtId="164" fontId="4" fillId="0" borderId="5" xfId="1" applyFont="1" applyFill="1" applyBorder="1"/>
    <xf numFmtId="164" fontId="45" fillId="0" borderId="0" xfId="1" applyFont="1" applyFill="1"/>
    <xf numFmtId="0" fontId="4" fillId="0" borderId="4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/>
    </xf>
    <xf numFmtId="4" fontId="4" fillId="0" borderId="10" xfId="0" applyNumberFormat="1" applyFont="1" applyFill="1" applyBorder="1"/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/>
    <xf numFmtId="0" fontId="4" fillId="0" borderId="1" xfId="0" applyFont="1" applyFill="1" applyBorder="1"/>
    <xf numFmtId="164" fontId="3" fillId="0" borderId="5" xfId="1" applyFont="1" applyFill="1" applyBorder="1"/>
    <xf numFmtId="164" fontId="4" fillId="0" borderId="50" xfId="1" applyNumberFormat="1" applyFont="1" applyFill="1" applyBorder="1" applyAlignment="1">
      <alignment horizontal="right" wrapText="1"/>
    </xf>
    <xf numFmtId="164" fontId="3" fillId="0" borderId="0" xfId="1" applyNumberFormat="1" applyFont="1" applyFill="1"/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164" fontId="4" fillId="0" borderId="11" xfId="1" applyFont="1" applyFill="1" applyBorder="1"/>
    <xf numFmtId="164" fontId="3" fillId="0" borderId="6" xfId="1" applyFont="1" applyFill="1" applyBorder="1"/>
    <xf numFmtId="4" fontId="34" fillId="0" borderId="9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/>
    <xf numFmtId="0" fontId="34" fillId="0" borderId="3" xfId="0" applyFont="1" applyFill="1" applyBorder="1" applyAlignment="1">
      <alignment horizontal="right" vertical="center" wrapText="1"/>
    </xf>
    <xf numFmtId="0" fontId="34" fillId="0" borderId="5" xfId="0" applyFont="1" applyFill="1" applyBorder="1" applyAlignment="1">
      <alignment horizontal="right" vertical="center" wrapText="1"/>
    </xf>
    <xf numFmtId="0" fontId="34" fillId="0" borderId="9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/>
    <xf numFmtId="0" fontId="34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center" vertical="center"/>
    </xf>
    <xf numFmtId="4" fontId="34" fillId="0" borderId="3" xfId="0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wrapText="1"/>
    </xf>
    <xf numFmtId="164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/>
    <xf numFmtId="0" fontId="4" fillId="0" borderId="11" xfId="0" applyFont="1" applyFill="1" applyBorder="1" applyAlignment="1"/>
    <xf numFmtId="0" fontId="34" fillId="0" borderId="11" xfId="0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horizontal="center" vertical="center"/>
    </xf>
    <xf numFmtId="4" fontId="34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/>
    <xf numFmtId="0" fontId="35" fillId="0" borderId="9" xfId="0" applyFont="1" applyFill="1" applyBorder="1"/>
    <xf numFmtId="0" fontId="3" fillId="0" borderId="9" xfId="0" applyFont="1" applyFill="1" applyBorder="1"/>
    <xf numFmtId="4" fontId="3" fillId="0" borderId="9" xfId="0" applyNumberFormat="1" applyFont="1" applyFill="1" applyBorder="1"/>
    <xf numFmtId="4" fontId="4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164" fontId="3" fillId="9" borderId="0" xfId="1" applyFont="1" applyFill="1"/>
    <xf numFmtId="0" fontId="4" fillId="0" borderId="1" xfId="0" applyFont="1" applyFill="1" applyBorder="1" applyAlignment="1">
      <alignment vertical="center" wrapText="1"/>
    </xf>
    <xf numFmtId="174" fontId="3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/>
    </xf>
    <xf numFmtId="0" fontId="42" fillId="0" borderId="63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42" fillId="6" borderId="63" xfId="0" applyFont="1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0" fontId="0" fillId="6" borderId="50" xfId="0" applyFill="1" applyBorder="1" applyAlignment="1">
      <alignment vertical="center" wrapText="1"/>
    </xf>
    <xf numFmtId="0" fontId="42" fillId="0" borderId="5" xfId="0" applyFont="1" applyBorder="1" applyAlignment="1">
      <alignment wrapText="1"/>
    </xf>
    <xf numFmtId="0" fontId="0" fillId="0" borderId="11" xfId="0" applyBorder="1" applyAlignment="1">
      <alignment wrapText="1"/>
    </xf>
    <xf numFmtId="0" fontId="42" fillId="0" borderId="18" xfId="0" applyFont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40" xfId="0" applyBorder="1" applyAlignment="1">
      <alignment wrapText="1"/>
    </xf>
    <xf numFmtId="0" fontId="42" fillId="0" borderId="18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4" fillId="2" borderId="3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3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wrapText="1"/>
    </xf>
    <xf numFmtId="0" fontId="3" fillId="2" borderId="0" xfId="0" applyFont="1" applyFill="1" applyAlignment="1">
      <alignment wrapText="1"/>
    </xf>
    <xf numFmtId="0" fontId="39" fillId="2" borderId="0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4" fillId="2" borderId="0" xfId="2" applyFont="1" applyFill="1" applyAlignment="1">
      <alignment vertical="top" wrapText="1"/>
    </xf>
    <xf numFmtId="49" fontId="4" fillId="2" borderId="0" xfId="2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vertical="center" wrapText="1"/>
    </xf>
    <xf numFmtId="3" fontId="47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vertical="top" wrapText="1"/>
    </xf>
    <xf numFmtId="0" fontId="40" fillId="2" borderId="1" xfId="0" applyFont="1" applyFill="1" applyBorder="1" applyAlignment="1">
      <alignment vertical="top" wrapText="1"/>
    </xf>
    <xf numFmtId="0" fontId="40" fillId="2" borderId="2" xfId="0" applyFont="1" applyFill="1" applyBorder="1" applyAlignment="1">
      <alignment vertical="top" wrapText="1"/>
    </xf>
    <xf numFmtId="3" fontId="47" fillId="2" borderId="3" xfId="0" applyNumberFormat="1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3" fontId="40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0" fillId="2" borderId="0" xfId="2" applyFont="1" applyFill="1" applyAlignment="1">
      <alignment wrapText="1"/>
    </xf>
    <xf numFmtId="0" fontId="42" fillId="2" borderId="0" xfId="0" applyFont="1" applyFill="1" applyAlignment="1">
      <alignment wrapText="1"/>
    </xf>
    <xf numFmtId="0" fontId="40" fillId="2" borderId="0" xfId="2" applyFont="1" applyFill="1" applyAlignment="1">
      <alignment vertical="top" wrapText="1"/>
    </xf>
    <xf numFmtId="49" fontId="40" fillId="2" borderId="0" xfId="2" applyNumberFormat="1" applyFont="1" applyFill="1" applyBorder="1" applyAlignment="1">
      <alignment horizontal="center"/>
    </xf>
    <xf numFmtId="0" fontId="42" fillId="2" borderId="5" xfId="0" applyFont="1" applyFill="1" applyBorder="1" applyAlignment="1">
      <alignment wrapText="1"/>
    </xf>
    <xf numFmtId="0" fontId="42" fillId="2" borderId="3" xfId="0" applyFont="1" applyFill="1" applyBorder="1" applyAlignment="1">
      <alignment wrapText="1"/>
    </xf>
    <xf numFmtId="0" fontId="40" fillId="2" borderId="1" xfId="0" applyFont="1" applyFill="1" applyBorder="1" applyAlignment="1">
      <alignment horizontal="center" vertical="center" wrapText="1"/>
    </xf>
    <xf numFmtId="14" fontId="40" fillId="2" borderId="1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3" fontId="34" fillId="0" borderId="1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4" fillId="0" borderId="15" xfId="0" applyFont="1" applyFill="1" applyBorder="1" applyAlignment="1">
      <alignment horizontal="right" vertical="center" wrapText="1"/>
    </xf>
    <xf numFmtId="0" fontId="3" fillId="0" borderId="47" xfId="0" applyFont="1" applyFill="1" applyBorder="1" applyAlignment="1">
      <alignment wrapText="1"/>
    </xf>
    <xf numFmtId="3" fontId="34" fillId="0" borderId="3" xfId="0" applyNumberFormat="1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7" fillId="0" borderId="2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4" fillId="0" borderId="0" xfId="2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2" applyFont="1" applyFill="1" applyAlignment="1">
      <alignment vertical="top" wrapText="1"/>
    </xf>
    <xf numFmtId="49" fontId="4" fillId="0" borderId="0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 wrapText="1"/>
    </xf>
    <xf numFmtId="3" fontId="40" fillId="2" borderId="11" xfId="0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/>
    </xf>
    <xf numFmtId="0" fontId="66" fillId="2" borderId="0" xfId="0" applyFont="1" applyFill="1" applyAlignment="1">
      <alignment horizontal="center"/>
    </xf>
    <xf numFmtId="0" fontId="3" fillId="0" borderId="13" xfId="0" applyFont="1" applyFill="1" applyBorder="1" applyAlignment="1">
      <alignment wrapText="1"/>
    </xf>
    <xf numFmtId="3" fontId="34" fillId="0" borderId="67" xfId="0" applyNumberFormat="1" applyFont="1" applyFill="1" applyBorder="1" applyAlignment="1">
      <alignment horizontal="center" wrapText="1"/>
    </xf>
    <xf numFmtId="0" fontId="35" fillId="0" borderId="68" xfId="0" applyFont="1" applyFill="1" applyBorder="1" applyAlignment="1">
      <alignment horizontal="center" wrapText="1"/>
    </xf>
    <xf numFmtId="0" fontId="35" fillId="0" borderId="58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vertical="top" wrapText="1"/>
    </xf>
    <xf numFmtId="0" fontId="10" fillId="2" borderId="34" xfId="0" applyFont="1" applyFill="1" applyBorder="1" applyAlignment="1">
      <alignment vertical="top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wrapText="1"/>
    </xf>
    <xf numFmtId="0" fontId="5" fillId="2" borderId="0" xfId="2" applyFont="1" applyFill="1" applyAlignment="1">
      <alignment wrapText="1"/>
    </xf>
    <xf numFmtId="0" fontId="6" fillId="2" borderId="0" xfId="0" applyFont="1" applyFill="1" applyAlignment="1">
      <alignment wrapText="1"/>
    </xf>
    <xf numFmtId="0" fontId="5" fillId="2" borderId="0" xfId="2" applyFont="1" applyFill="1" applyAlignment="1">
      <alignment vertical="top" wrapText="1"/>
    </xf>
    <xf numFmtId="49" fontId="5" fillId="2" borderId="0" xfId="2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24" xfId="0" applyFont="1" applyFill="1" applyBorder="1" applyAlignment="1">
      <alignment wrapText="1"/>
    </xf>
    <xf numFmtId="0" fontId="9" fillId="2" borderId="25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vertical="top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top" wrapText="1"/>
    </xf>
    <xf numFmtId="3" fontId="5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wrapText="1"/>
    </xf>
    <xf numFmtId="3" fontId="21" fillId="2" borderId="11" xfId="0" applyNumberFormat="1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vertical="center" wrapText="1"/>
    </xf>
    <xf numFmtId="0" fontId="19" fillId="2" borderId="36" xfId="0" applyFont="1" applyFill="1" applyBorder="1" applyAlignment="1">
      <alignment vertical="center" wrapText="1"/>
    </xf>
    <xf numFmtId="0" fontId="28" fillId="2" borderId="36" xfId="0" applyFont="1" applyFill="1" applyBorder="1" applyAlignment="1">
      <alignment vertical="center" wrapText="1"/>
    </xf>
    <xf numFmtId="0" fontId="28" fillId="2" borderId="39" xfId="0" applyFont="1" applyFill="1" applyBorder="1" applyAlignment="1">
      <alignment vertical="center" wrapText="1"/>
    </xf>
    <xf numFmtId="3" fontId="10" fillId="2" borderId="2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wrapText="1"/>
    </xf>
    <xf numFmtId="0" fontId="36" fillId="2" borderId="0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4" fillId="2" borderId="14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2" fillId="2" borderId="19" xfId="0" applyFont="1" applyFill="1" applyBorder="1" applyAlignment="1">
      <alignment wrapText="1"/>
    </xf>
    <xf numFmtId="0" fontId="47" fillId="2" borderId="5" xfId="0" applyFont="1" applyFill="1" applyBorder="1" applyAlignment="1">
      <alignment vertical="center" wrapText="1"/>
    </xf>
    <xf numFmtId="0" fontId="40" fillId="2" borderId="11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vertical="center" wrapText="1"/>
    </xf>
    <xf numFmtId="0" fontId="42" fillId="2" borderId="41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vertical="center" wrapText="1"/>
    </xf>
    <xf numFmtId="0" fontId="40" fillId="2" borderId="5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/>
    </xf>
    <xf numFmtId="0" fontId="3" fillId="2" borderId="19" xfId="0" applyFont="1" applyFill="1" applyBorder="1" applyAlignment="1">
      <alignment wrapText="1"/>
    </xf>
    <xf numFmtId="0" fontId="4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42" fillId="0" borderId="41" xfId="0" applyFont="1" applyBorder="1" applyAlignment="1">
      <alignment vertical="center" wrapText="1"/>
    </xf>
    <xf numFmtId="3" fontId="40" fillId="8" borderId="1" xfId="0" applyNumberFormat="1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left" wrapText="1"/>
    </xf>
    <xf numFmtId="0" fontId="62" fillId="2" borderId="0" xfId="0" applyFont="1" applyFill="1" applyBorder="1" applyAlignment="1">
      <alignment horizontal="center"/>
    </xf>
    <xf numFmtId="0" fontId="40" fillId="0" borderId="0" xfId="2" applyFont="1" applyAlignment="1">
      <alignment wrapText="1"/>
    </xf>
    <xf numFmtId="0" fontId="42" fillId="0" borderId="0" xfId="0" applyFont="1" applyAlignment="1">
      <alignment wrapText="1"/>
    </xf>
    <xf numFmtId="0" fontId="40" fillId="0" borderId="1" xfId="2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wrapText="1"/>
    </xf>
    <xf numFmtId="0" fontId="40" fillId="2" borderId="1" xfId="2" applyFont="1" applyFill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2" fillId="0" borderId="1" xfId="0" applyFont="1" applyBorder="1" applyAlignment="1">
      <alignment wrapText="1"/>
    </xf>
    <xf numFmtId="0" fontId="40" fillId="0" borderId="1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Fill="1" applyBorder="1" applyAlignment="1">
      <alignment horizontal="center" wrapText="1"/>
    </xf>
    <xf numFmtId="0" fontId="40" fillId="0" borderId="54" xfId="2" applyFont="1" applyFill="1" applyBorder="1" applyAlignment="1">
      <alignment horizontal="center" wrapText="1"/>
    </xf>
    <xf numFmtId="0" fontId="40" fillId="0" borderId="36" xfId="2" applyFont="1" applyFill="1" applyBorder="1" applyAlignment="1">
      <alignment horizontal="center" wrapText="1"/>
    </xf>
    <xf numFmtId="0" fontId="40" fillId="0" borderId="0" xfId="2" applyFont="1" applyFill="1" applyBorder="1" applyAlignment="1">
      <alignment horizontal="center" wrapText="1"/>
    </xf>
    <xf numFmtId="0" fontId="40" fillId="0" borderId="5" xfId="2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5" xfId="0" applyFont="1" applyBorder="1" applyAlignment="1"/>
    <xf numFmtId="0" fontId="42" fillId="0" borderId="52" xfId="0" applyFont="1" applyBorder="1" applyAlignment="1"/>
    <xf numFmtId="0" fontId="42" fillId="0" borderId="13" xfId="0" applyFont="1" applyBorder="1" applyAlignment="1"/>
    <xf numFmtId="0" fontId="42" fillId="0" borderId="0" xfId="0" applyFont="1" applyAlignment="1">
      <alignment horizontal="left" vertical="top" wrapText="1"/>
    </xf>
    <xf numFmtId="0" fontId="40" fillId="2" borderId="22" xfId="0" applyFont="1" applyFill="1" applyBorder="1" applyAlignment="1">
      <alignment horizontal="center" vertical="center" wrapText="1"/>
    </xf>
    <xf numFmtId="0" fontId="40" fillId="2" borderId="29" xfId="0" applyFont="1" applyFill="1" applyBorder="1" applyAlignment="1">
      <alignment horizontal="center" vertical="center" wrapText="1"/>
    </xf>
    <xf numFmtId="0" fontId="40" fillId="2" borderId="27" xfId="0" applyFont="1" applyFill="1" applyBorder="1" applyAlignment="1">
      <alignment horizontal="center"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7" fillId="6" borderId="63" xfId="0" applyFont="1" applyFill="1" applyBorder="1" applyAlignment="1">
      <alignment horizontal="center" vertical="center" wrapText="1"/>
    </xf>
    <xf numFmtId="0" fontId="0" fillId="6" borderId="65" xfId="0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7" fillId="2" borderId="35" xfId="0" applyFont="1" applyFill="1" applyBorder="1" applyAlignment="1">
      <alignment vertical="top" wrapText="1"/>
    </xf>
    <xf numFmtId="0" fontId="47" fillId="2" borderId="36" xfId="0" applyFont="1" applyFill="1" applyBorder="1" applyAlignment="1">
      <alignment vertical="top" wrapText="1"/>
    </xf>
    <xf numFmtId="0" fontId="40" fillId="2" borderId="36" xfId="0" applyFont="1" applyFill="1" applyBorder="1" applyAlignment="1">
      <alignment vertical="top" wrapText="1"/>
    </xf>
    <xf numFmtId="0" fontId="47" fillId="2" borderId="2" xfId="0" applyFont="1" applyFill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40" fillId="2" borderId="28" xfId="0" applyFont="1" applyFill="1" applyBorder="1" applyAlignment="1">
      <alignment horizontal="center" vertical="center" wrapText="1"/>
    </xf>
    <xf numFmtId="3" fontId="47" fillId="2" borderId="2" xfId="0" applyNumberFormat="1" applyFont="1" applyFill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6" fillId="0" borderId="63" xfId="0" applyFont="1" applyBorder="1" applyAlignment="1">
      <alignment horizontal="center" vertical="center" wrapText="1"/>
    </xf>
    <xf numFmtId="0" fontId="55" fillId="0" borderId="61" xfId="0" applyFont="1" applyBorder="1" applyAlignment="1">
      <alignment horizontal="center" vertical="center" wrapText="1"/>
    </xf>
    <xf numFmtId="0" fontId="55" fillId="0" borderId="65" xfId="0" applyFont="1" applyBorder="1" applyAlignment="1">
      <alignment horizontal="center" vertical="center" wrapText="1"/>
    </xf>
    <xf numFmtId="0" fontId="47" fillId="2" borderId="63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0" fillId="0" borderId="1" xfId="2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58" fillId="0" borderId="0" xfId="2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59" fillId="0" borderId="31" xfId="0" applyFont="1" applyBorder="1" applyAlignment="1">
      <alignment horizontal="center" wrapText="1"/>
    </xf>
    <xf numFmtId="0" fontId="42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0" fillId="0" borderId="0" xfId="2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64" fontId="40" fillId="0" borderId="0" xfId="2" applyNumberFormat="1" applyFont="1" applyAlignment="1"/>
    <xf numFmtId="0" fontId="0" fillId="0" borderId="0" xfId="0" applyAlignment="1"/>
    <xf numFmtId="0" fontId="41" fillId="0" borderId="0" xfId="0" applyFont="1" applyAlignment="1">
      <alignment wrapText="1"/>
    </xf>
    <xf numFmtId="0" fontId="42" fillId="0" borderId="1" xfId="0" applyFont="1" applyBorder="1" applyAlignment="1">
      <alignment horizontal="center" vertical="center"/>
    </xf>
    <xf numFmtId="0" fontId="5" fillId="0" borderId="0" xfId="2" applyFont="1" applyAlignment="1">
      <alignment wrapText="1"/>
    </xf>
    <xf numFmtId="0" fontId="0" fillId="0" borderId="55" xfId="0" applyBorder="1" applyAlignment="1">
      <alignment wrapText="1"/>
    </xf>
    <xf numFmtId="0" fontId="4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56" xfId="0" applyFont="1" applyBorder="1" applyAlignment="1">
      <alignment wrapText="1"/>
    </xf>
    <xf numFmtId="0" fontId="0" fillId="0" borderId="56" xfId="0" applyBorder="1" applyAlignment="1">
      <alignment wrapText="1"/>
    </xf>
    <xf numFmtId="0" fontId="4" fillId="0" borderId="57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top" wrapText="1"/>
    </xf>
    <xf numFmtId="0" fontId="4" fillId="0" borderId="60" xfId="2" applyFont="1" applyBorder="1" applyAlignment="1">
      <alignment horizontal="center" vertical="top" wrapText="1"/>
    </xf>
    <xf numFmtId="0" fontId="4" fillId="0" borderId="22" xfId="2" applyFont="1" applyBorder="1" applyAlignment="1">
      <alignment horizontal="center" vertical="top" wrapText="1"/>
    </xf>
    <xf numFmtId="0" fontId="4" fillId="0" borderId="29" xfId="2" applyFont="1" applyBorder="1" applyAlignment="1">
      <alignment horizontal="center" vertical="top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4" fillId="0" borderId="22" xfId="2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4" fillId="0" borderId="0" xfId="2" applyFont="1" applyAlignment="1">
      <alignment wrapText="1"/>
    </xf>
    <xf numFmtId="0" fontId="3" fillId="0" borderId="0" xfId="0" applyFont="1" applyAlignment="1">
      <alignment wrapText="1"/>
    </xf>
    <xf numFmtId="0" fontId="4" fillId="0" borderId="45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48" xfId="2" applyFont="1" applyBorder="1" applyAlignment="1">
      <alignment horizontal="center"/>
    </xf>
    <xf numFmtId="0" fontId="4" fillId="0" borderId="53" xfId="2" applyFont="1" applyFill="1" applyBorder="1" applyAlignment="1">
      <alignment horizontal="center" wrapText="1"/>
    </xf>
    <xf numFmtId="0" fontId="4" fillId="0" borderId="54" xfId="2" applyFont="1" applyFill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top" wrapText="1"/>
    </xf>
    <xf numFmtId="0" fontId="43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40" fillId="0" borderId="8" xfId="2" applyFont="1" applyBorder="1" applyAlignment="1">
      <alignment horizontal="center"/>
    </xf>
    <xf numFmtId="0" fontId="40" fillId="0" borderId="9" xfId="2" applyFont="1" applyBorder="1" applyAlignment="1">
      <alignment horizontal="center"/>
    </xf>
    <xf numFmtId="0" fontId="40" fillId="0" borderId="48" xfId="2" applyFont="1" applyBorder="1" applyAlignment="1">
      <alignment horizontal="center"/>
    </xf>
    <xf numFmtId="0" fontId="42" fillId="0" borderId="36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39" xfId="0" applyFont="1" applyBorder="1" applyAlignment="1">
      <alignment horizontal="center" wrapText="1"/>
    </xf>
    <xf numFmtId="0" fontId="42" fillId="0" borderId="56" xfId="0" applyFont="1" applyBorder="1" applyAlignment="1">
      <alignment horizontal="center" wrapText="1"/>
    </xf>
    <xf numFmtId="0" fontId="40" fillId="0" borderId="23" xfId="2" applyFont="1" applyFill="1" applyBorder="1" applyAlignment="1">
      <alignment horizontal="left" wrapText="1"/>
    </xf>
    <xf numFmtId="0" fontId="40" fillId="0" borderId="1" xfId="2" applyFont="1" applyFill="1" applyBorder="1" applyAlignment="1">
      <alignment horizontal="left" wrapText="1"/>
    </xf>
    <xf numFmtId="0" fontId="40" fillId="0" borderId="2" xfId="2" applyFont="1" applyFill="1" applyBorder="1" applyAlignment="1">
      <alignment horizontal="left" wrapText="1"/>
    </xf>
    <xf numFmtId="0" fontId="40" fillId="0" borderId="28" xfId="2" applyFont="1" applyFill="1" applyBorder="1" applyAlignment="1">
      <alignment horizontal="left" wrapText="1"/>
    </xf>
    <xf numFmtId="0" fontId="40" fillId="0" borderId="29" xfId="2" applyFont="1" applyFill="1" applyBorder="1" applyAlignment="1">
      <alignment horizontal="left" wrapText="1"/>
    </xf>
    <xf numFmtId="0" fontId="40" fillId="0" borderId="64" xfId="2" applyFont="1" applyFill="1" applyBorder="1" applyAlignment="1">
      <alignment horizontal="left" wrapText="1"/>
    </xf>
    <xf numFmtId="0" fontId="42" fillId="0" borderId="1" xfId="0" applyFont="1" applyBorder="1" applyAlignment="1">
      <alignment horizontal="center" vertical="top" wrapText="1"/>
    </xf>
    <xf numFmtId="0" fontId="40" fillId="0" borderId="45" xfId="2" applyFont="1" applyBorder="1" applyAlignment="1">
      <alignment horizontal="center" vertical="center" wrapText="1"/>
    </xf>
    <xf numFmtId="0" fontId="40" fillId="0" borderId="11" xfId="2" applyFont="1" applyBorder="1" applyAlignment="1">
      <alignment horizontal="center" vertical="center" wrapText="1"/>
    </xf>
    <xf numFmtId="0" fontId="40" fillId="0" borderId="6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/>
    </xf>
    <xf numFmtId="164" fontId="43" fillId="0" borderId="0" xfId="1" applyFont="1" applyAlignment="1">
      <alignment horizontal="center" wrapText="1"/>
    </xf>
    <xf numFmtId="0" fontId="44" fillId="0" borderId="0" xfId="2" applyFont="1" applyAlignment="1">
      <alignment horizontal="center" wrapText="1"/>
    </xf>
    <xf numFmtId="0" fontId="41" fillId="0" borderId="55" xfId="0" applyFont="1" applyBorder="1" applyAlignment="1">
      <alignment wrapText="1"/>
    </xf>
    <xf numFmtId="0" fontId="40" fillId="0" borderId="24" xfId="2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47" xfId="0" applyFont="1" applyBorder="1" applyAlignment="1">
      <alignment vertical="center" wrapText="1"/>
    </xf>
    <xf numFmtId="0" fontId="40" fillId="0" borderId="15" xfId="2" applyFont="1" applyBorder="1" applyAlignment="1">
      <alignment horizontal="center" vertical="center"/>
    </xf>
    <xf numFmtId="0" fontId="40" fillId="0" borderId="52" xfId="2" applyFont="1" applyBorder="1" applyAlignment="1">
      <alignment horizontal="center" vertical="center"/>
    </xf>
    <xf numFmtId="0" fontId="42" fillId="0" borderId="67" xfId="0" applyFont="1" applyBorder="1" applyAlignment="1">
      <alignment wrapText="1" shrinkToFit="1"/>
    </xf>
    <xf numFmtId="0" fontId="42" fillId="0" borderId="68" xfId="0" applyFont="1" applyBorder="1" applyAlignment="1">
      <alignment wrapText="1" shrinkToFit="1"/>
    </xf>
    <xf numFmtId="0" fontId="42" fillId="0" borderId="58" xfId="0" applyFont="1" applyBorder="1" applyAlignment="1">
      <alignment wrapText="1" shrinkToFit="1"/>
    </xf>
    <xf numFmtId="0" fontId="42" fillId="0" borderId="64" xfId="0" applyFont="1" applyBorder="1" applyAlignment="1">
      <alignment wrapText="1" shrinkToFit="1"/>
    </xf>
    <xf numFmtId="0" fontId="42" fillId="0" borderId="66" xfId="0" applyFont="1" applyBorder="1" applyAlignment="1">
      <alignment wrapText="1" shrinkToFit="1"/>
    </xf>
    <xf numFmtId="0" fontId="42" fillId="0" borderId="60" xfId="0" applyFont="1" applyBorder="1" applyAlignment="1">
      <alignment wrapText="1" shrinkToFit="1"/>
    </xf>
    <xf numFmtId="0" fontId="68" fillId="0" borderId="3" xfId="0" applyFont="1" applyBorder="1" applyAlignment="1">
      <alignment horizontal="left"/>
    </xf>
    <xf numFmtId="0" fontId="68" fillId="0" borderId="2" xfId="0" applyFont="1" applyBorder="1" applyAlignment="1">
      <alignment horizontal="left"/>
    </xf>
    <xf numFmtId="0" fontId="68" fillId="0" borderId="49" xfId="0" applyFont="1" applyBorder="1" applyAlignment="1">
      <alignment horizontal="left"/>
    </xf>
    <xf numFmtId="2" fontId="5" fillId="0" borderId="2" xfId="4" applyNumberFormat="1" applyFont="1" applyBorder="1" applyAlignment="1">
      <alignment horizontal="left" wrapText="1"/>
    </xf>
    <xf numFmtId="2" fontId="5" fillId="0" borderId="49" xfId="4" applyNumberFormat="1" applyFont="1" applyBorder="1" applyAlignment="1">
      <alignment horizontal="left" wrapText="1"/>
    </xf>
    <xf numFmtId="0" fontId="68" fillId="0" borderId="2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/>
    </xf>
    <xf numFmtId="0" fontId="61" fillId="0" borderId="11" xfId="0" applyFont="1" applyBorder="1" applyAlignment="1">
      <alignment horizontal="center"/>
    </xf>
    <xf numFmtId="0" fontId="70" fillId="0" borderId="18" xfId="0" applyFont="1" applyBorder="1" applyAlignment="1">
      <alignment horizontal="center" vertical="center" wrapText="1"/>
    </xf>
    <xf numFmtId="0" fontId="70" fillId="0" borderId="45" xfId="0" applyFont="1" applyBorder="1" applyAlignment="1">
      <alignment horizontal="center" vertical="center" wrapText="1"/>
    </xf>
    <xf numFmtId="0" fontId="70" fillId="0" borderId="40" xfId="0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/>
    </xf>
    <xf numFmtId="0" fontId="61" fillId="0" borderId="41" xfId="0" applyFont="1" applyBorder="1" applyAlignment="1">
      <alignment horizontal="center"/>
    </xf>
    <xf numFmtId="0" fontId="69" fillId="0" borderId="18" xfId="0" applyFont="1" applyBorder="1" applyAlignment="1">
      <alignment horizontal="center" vertical="center" wrapText="1"/>
    </xf>
    <xf numFmtId="0" fontId="69" fillId="0" borderId="45" xfId="0" applyFont="1" applyBorder="1" applyAlignment="1">
      <alignment horizontal="center" vertical="center" wrapText="1"/>
    </xf>
    <xf numFmtId="0" fontId="69" fillId="0" borderId="40" xfId="0" applyFont="1" applyBorder="1" applyAlignment="1">
      <alignment horizontal="center" vertical="center" wrapText="1"/>
    </xf>
    <xf numFmtId="0" fontId="69" fillId="0" borderId="16" xfId="0" applyFont="1" applyBorder="1" applyAlignment="1">
      <alignment horizontal="center"/>
    </xf>
    <xf numFmtId="0" fontId="69" fillId="0" borderId="11" xfId="0" applyFont="1" applyBorder="1" applyAlignment="1">
      <alignment horizontal="center"/>
    </xf>
    <xf numFmtId="0" fontId="69" fillId="0" borderId="41" xfId="0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4 2" xfId="4"/>
    <cellStyle name="Финансовый" xfId="1" builtinId="3"/>
    <cellStyle name="Финансовый 2" xfId="3"/>
  </cellStyles>
  <dxfs count="0"/>
  <tableStyles count="0" defaultTableStyle="TableStyleMedium9" defaultPivotStyle="PivotStyleLight16"/>
  <colors>
    <mruColors>
      <color rgb="FFCCFF99"/>
      <color rgb="FFDEFAFE"/>
      <color rgb="FFFF99FF"/>
      <color rgb="FFE7FFFE"/>
      <color rgb="FFCC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ktenko/Documents/2021/&#1058;&#1040;&#1056;&#1048;&#1060;.&#1053;&#1040;%2001.01.2021/&#1058;&#1072;&#1088;&#1080;&#1092;%20&#1085;&#1072;%2001.09.2021/&#1064;&#1058;&#1040;&#1058;&#1053;&#1054;&#1045;%20&#1056;&#1040;&#1057;&#1055;%20&#1085;&#1072;%202021%20(2)%20&#1057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7;&#1077;&#1094;&#1080;&#1072;&#1083;&#1080;&#1089;&#1090;/Downloads/1.01.22%20&#1075;%20&#1058;&#1072;&#1088;&#1080;&#1092;&#1080;&#1082;&#1072;&#1094;&#1080;&#1103;%20&#8212;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7;&#1077;&#1094;&#1080;&#1072;&#1083;&#1080;&#1089;&#1090;/Downloads/1.01.20%20&#1058;&#1072;&#1088;&#1080;&#1092;&#1080;&#1082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в 21"/>
      <sheetName val="рас21"/>
      <sheetName val="свод бюджетные"/>
      <sheetName val="кир21"/>
      <sheetName val="проточ21"/>
      <sheetName val="орловская"/>
      <sheetName val="полевое 2021"/>
      <sheetName val="суриковр"/>
      <sheetName val="Арефье"/>
      <sheetName val="свод по казенным"/>
      <sheetName val="дом 2021 г"/>
      <sheetName val="центр"/>
      <sheetName val="нов сад"/>
      <sheetName val="расс сад"/>
      <sheetName val="суриков сад"/>
      <sheetName val="свод по садам"/>
      <sheetName val="проточ ссап"/>
      <sheetName val="об сад нов"/>
      <sheetName val="Лист10"/>
      <sheetName val="ценнтр с изм"/>
      <sheetName val="дом 01.09"/>
      <sheetName val="ДТ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D14">
            <v>230</v>
          </cell>
        </row>
        <row r="15">
          <cell r="D15">
            <v>11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9">
          <cell r="K29">
            <v>1010188.16</v>
          </cell>
        </row>
        <row r="30">
          <cell r="K30">
            <v>202037.63200000001</v>
          </cell>
        </row>
        <row r="31">
          <cell r="K31">
            <v>825550.08</v>
          </cell>
        </row>
        <row r="33">
          <cell r="K33">
            <v>2206349.0720000002</v>
          </cell>
        </row>
        <row r="36">
          <cell r="K36">
            <v>1088410.56</v>
          </cell>
        </row>
        <row r="37">
          <cell r="K37">
            <v>224409.59999999998</v>
          </cell>
        </row>
        <row r="39">
          <cell r="K39">
            <v>113356.79999999999</v>
          </cell>
        </row>
        <row r="40">
          <cell r="K40">
            <v>84235.263999999996</v>
          </cell>
        </row>
        <row r="41">
          <cell r="K41">
            <v>100125.44</v>
          </cell>
        </row>
        <row r="42">
          <cell r="K42">
            <v>118569.60000000001</v>
          </cell>
        </row>
        <row r="43">
          <cell r="K43">
            <v>102760.32000000001</v>
          </cell>
        </row>
        <row r="44">
          <cell r="K44">
            <v>0</v>
          </cell>
        </row>
        <row r="45">
          <cell r="K45">
            <v>2389521.9200000004</v>
          </cell>
        </row>
        <row r="46">
          <cell r="K46">
            <v>0</v>
          </cell>
        </row>
        <row r="47">
          <cell r="K47">
            <v>1528199.92</v>
          </cell>
        </row>
        <row r="48">
          <cell r="K48">
            <v>3917721.8400000003</v>
          </cell>
        </row>
        <row r="50">
          <cell r="K50">
            <v>47265.792000000001</v>
          </cell>
        </row>
        <row r="51">
          <cell r="K51">
            <v>71611.90400000001</v>
          </cell>
        </row>
        <row r="52">
          <cell r="K52">
            <v>30784.447999999997</v>
          </cell>
        </row>
        <row r="53">
          <cell r="K53">
            <v>41500.159999999996</v>
          </cell>
        </row>
        <row r="54">
          <cell r="K54">
            <v>22197.760000000002</v>
          </cell>
        </row>
        <row r="55">
          <cell r="K55">
            <v>48642.047999999995</v>
          </cell>
        </row>
        <row r="56">
          <cell r="K56">
            <v>22197.760000000002</v>
          </cell>
        </row>
        <row r="57">
          <cell r="K57">
            <v>46325.759999999995</v>
          </cell>
        </row>
        <row r="58">
          <cell r="K58">
            <v>20267.52</v>
          </cell>
        </row>
        <row r="59">
          <cell r="K59">
            <v>165518.08000000002</v>
          </cell>
        </row>
        <row r="60">
          <cell r="K60">
            <v>42465.279999999999</v>
          </cell>
        </row>
        <row r="61">
          <cell r="K61">
            <v>0</v>
          </cell>
        </row>
        <row r="62">
          <cell r="K62">
            <v>558776.5120000001</v>
          </cell>
        </row>
        <row r="63">
          <cell r="K63">
            <v>83816.476800000019</v>
          </cell>
        </row>
        <row r="64">
          <cell r="K64">
            <v>1158591</v>
          </cell>
        </row>
        <row r="65">
          <cell r="K65">
            <v>132840</v>
          </cell>
        </row>
        <row r="66">
          <cell r="K66">
            <v>1934023.9888000002</v>
          </cell>
        </row>
        <row r="67">
          <cell r="K67">
            <v>8058094.9008000009</v>
          </cell>
        </row>
      </sheetData>
      <sheetData sheetId="13" refreshError="1"/>
      <sheetData sheetId="14" refreshError="1"/>
      <sheetData sheetId="15" refreshError="1"/>
      <sheetData sheetId="16" refreshError="1">
        <row r="14">
          <cell r="D14">
            <v>7</v>
          </cell>
        </row>
        <row r="15">
          <cell r="D15">
            <v>1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</row>
        <row r="29">
          <cell r="K29">
            <v>122467.84</v>
          </cell>
        </row>
        <row r="30">
          <cell r="K30">
            <v>24493.567999999999</v>
          </cell>
        </row>
        <row r="31">
          <cell r="K31">
            <v>52696.959999999999</v>
          </cell>
        </row>
        <row r="33">
          <cell r="K33">
            <v>199658.36799999999</v>
          </cell>
        </row>
        <row r="36">
          <cell r="K36">
            <v>84890.240000000005</v>
          </cell>
        </row>
        <row r="37">
          <cell r="K37">
            <v>16128</v>
          </cell>
        </row>
        <row r="39">
          <cell r="K39">
            <v>8064</v>
          </cell>
        </row>
        <row r="45">
          <cell r="K45">
            <v>109082.24000000001</v>
          </cell>
        </row>
        <row r="46">
          <cell r="K46">
            <v>0</v>
          </cell>
        </row>
        <row r="47">
          <cell r="K47">
            <v>92795.24</v>
          </cell>
        </row>
        <row r="48">
          <cell r="K48">
            <v>201877.48</v>
          </cell>
        </row>
        <row r="50">
          <cell r="K50">
            <v>0</v>
          </cell>
        </row>
        <row r="52">
          <cell r="K52">
            <v>26444.288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5259.9040000000005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22197.760000000002</v>
          </cell>
        </row>
        <row r="60">
          <cell r="K60">
            <v>0</v>
          </cell>
        </row>
        <row r="61">
          <cell r="K61">
            <v>108093.43999999999</v>
          </cell>
        </row>
        <row r="62">
          <cell r="K62">
            <v>161995.39199999999</v>
          </cell>
        </row>
        <row r="63">
          <cell r="K63">
            <v>24299.308799999999</v>
          </cell>
        </row>
        <row r="64">
          <cell r="K64">
            <v>130310</v>
          </cell>
        </row>
        <row r="65">
          <cell r="K65">
            <v>0</v>
          </cell>
        </row>
        <row r="66">
          <cell r="K66">
            <v>316604.70079999999</v>
          </cell>
        </row>
        <row r="67">
          <cell r="K67">
            <v>718140.54879999999</v>
          </cell>
        </row>
      </sheetData>
      <sheetData sheetId="17" refreshError="1">
        <row r="29">
          <cell r="K29">
            <v>1132656</v>
          </cell>
        </row>
        <row r="30">
          <cell r="K30">
            <v>226531.20000000001</v>
          </cell>
        </row>
        <row r="31">
          <cell r="K31">
            <v>878247.03999999992</v>
          </cell>
        </row>
        <row r="33">
          <cell r="K33">
            <v>2406007.44</v>
          </cell>
        </row>
        <row r="37">
          <cell r="K37">
            <v>240537.59999999998</v>
          </cell>
        </row>
        <row r="39">
          <cell r="K39">
            <v>121420.79999999999</v>
          </cell>
        </row>
        <row r="40">
          <cell r="K40">
            <v>84235.263999999996</v>
          </cell>
        </row>
        <row r="41">
          <cell r="K41">
            <v>100125.44</v>
          </cell>
        </row>
        <row r="42">
          <cell r="K42">
            <v>118569.60000000001</v>
          </cell>
        </row>
        <row r="43">
          <cell r="K43">
            <v>102760.32000000001</v>
          </cell>
        </row>
        <row r="44">
          <cell r="K44">
            <v>0</v>
          </cell>
        </row>
        <row r="45">
          <cell r="K45">
            <v>2498604.16</v>
          </cell>
        </row>
        <row r="46">
          <cell r="K46">
            <v>0</v>
          </cell>
        </row>
        <row r="47">
          <cell r="K47">
            <v>1620995.16</v>
          </cell>
        </row>
        <row r="48">
          <cell r="K48">
            <v>4119599.3200000003</v>
          </cell>
        </row>
        <row r="50">
          <cell r="K50">
            <v>47265.792000000001</v>
          </cell>
        </row>
        <row r="51">
          <cell r="K51">
            <v>71611.90400000001</v>
          </cell>
        </row>
        <row r="52">
          <cell r="K52">
            <v>57228.735999999997</v>
          </cell>
        </row>
        <row r="53">
          <cell r="K53">
            <v>41500.159999999996</v>
          </cell>
        </row>
        <row r="54">
          <cell r="K54">
            <v>22197.760000000002</v>
          </cell>
        </row>
        <row r="55">
          <cell r="K55">
            <v>53901.951999999997</v>
          </cell>
        </row>
        <row r="56">
          <cell r="K56">
            <v>22197.760000000002</v>
          </cell>
        </row>
        <row r="57">
          <cell r="K57">
            <v>46325.759999999995</v>
          </cell>
        </row>
        <row r="58">
          <cell r="K58">
            <v>20267.52</v>
          </cell>
        </row>
        <row r="59">
          <cell r="K59">
            <v>187715.84000000003</v>
          </cell>
        </row>
        <row r="60">
          <cell r="K60">
            <v>42465.279999999999</v>
          </cell>
        </row>
        <row r="61">
          <cell r="K61">
            <v>108093.43999999999</v>
          </cell>
        </row>
        <row r="62">
          <cell r="K62">
            <v>720771.9040000001</v>
          </cell>
        </row>
        <row r="63">
          <cell r="K63">
            <v>108115.78560000002</v>
          </cell>
        </row>
        <row r="64">
          <cell r="K64">
            <v>1288901</v>
          </cell>
        </row>
        <row r="65">
          <cell r="K65">
            <v>132840</v>
          </cell>
        </row>
        <row r="66">
          <cell r="K66">
            <v>2250628.6896000002</v>
          </cell>
        </row>
        <row r="67">
          <cell r="K67">
            <v>8776235.4495999999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т"/>
      <sheetName val="свод по шк"/>
      <sheetName val="нов 2023"/>
      <sheetName val="рас 2023"/>
      <sheetName val="свод бюджетные"/>
      <sheetName val="кир 22"/>
      <sheetName val="пр2022"/>
      <sheetName val="полев2023"/>
      <sheetName val="орловская"/>
      <sheetName val="суриковр"/>
      <sheetName val="Арефье"/>
      <sheetName val="свод по казенным"/>
      <sheetName val="дом 2021 г"/>
      <sheetName val="центр"/>
      <sheetName val="нов сад"/>
      <sheetName val="нов на 01.02."/>
      <sheetName val="нов нс"/>
      <sheetName val="расс сад"/>
      <sheetName val="суриков сад"/>
      <sheetName val="свод по садам"/>
      <sheetName val="проточ ссап"/>
      <sheetName val="об сад нов"/>
      <sheetName val="Лист10"/>
      <sheetName val="Ц"/>
      <sheetName val="ХЭК"/>
      <sheetName val="дт 2022"/>
      <sheetName val="Лист3"/>
      <sheetName val="Метод каб "/>
      <sheetName val="аппар"/>
      <sheetName val="уб 2021"/>
      <sheetName val="2022"/>
      <sheetName val="шт 22"/>
      <sheetName val="дом тв ян"/>
      <sheetName val="опка"/>
      <sheetName val="Лист2"/>
      <sheetName val="Лист1"/>
      <sheetName val="2023 дом тв"/>
      <sheetName val="шт ХЭК 1"/>
      <sheetName val="шт ХЭК2"/>
      <sheetName val="Центр1"/>
      <sheetName val="аппарат 2023"/>
      <sheetName val="Лист5"/>
      <sheetName val="Лист6"/>
      <sheetName val="шт на 1.01.22"/>
      <sheetName val="МК НА 1.01.22"/>
      <sheetName val="Х.ГР на 24.01.22"/>
      <sheetName val="Х.ГР на 17.01.22"/>
      <sheetName val="Х.ГР на 1.01.22"/>
      <sheetName val="ПМПК 11.10.21"/>
      <sheetName val="рас окл рук на 1.09.21"/>
      <sheetName val="расчет оклада руко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шт на 23.12.20"/>
      <sheetName val="шт на 1.10.20"/>
      <sheetName val="Лист1"/>
      <sheetName val="шт на 8.07.20"/>
      <sheetName val="шт на 11.06.20"/>
      <sheetName val="шт на 1.06.20"/>
      <sheetName val="шт на 1.01.20"/>
      <sheetName val="мк 23.12.2020 г"/>
      <sheetName val="мк 1.10.2020"/>
      <sheetName val="мк 08.07.20"/>
      <sheetName val="мк 02.07.20"/>
      <sheetName val="мк 1.06.20"/>
      <sheetName val="мк 1.01.20"/>
      <sheetName val="х.гр 1.10.20"/>
      <sheetName val="х.гр 7.09.20"/>
      <sheetName val="х гр 11.06.20"/>
      <sheetName val="х гр 1.06.20"/>
      <sheetName val="х гр 14.05.20"/>
      <sheetName val="х гр 13.05.20"/>
      <sheetName val="х гр 6.05.20"/>
      <sheetName val="х гр 15.04.20"/>
      <sheetName val="х гр 1.01.20"/>
      <sheetName val="ПМПК 01.10.20"/>
      <sheetName val="ПМПК 04.09.2020"/>
      <sheetName val="ПМПК 08.06.20"/>
      <sheetName val="ПМПК 05.06.20"/>
      <sheetName val="ПМПК 1.06.20"/>
      <sheetName val="ПМПК 1.01.20"/>
      <sheetName val="расчет оклада ру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pane ySplit="1" topLeftCell="A2" activePane="bottomLeft" state="frozen"/>
      <selection pane="bottomLeft" activeCell="B32" sqref="B32"/>
    </sheetView>
  </sheetViews>
  <sheetFormatPr defaultRowHeight="12.75"/>
  <cols>
    <col min="1" max="1" width="22.7109375" style="589" customWidth="1"/>
    <col min="2" max="2" width="20.5703125" style="589" customWidth="1"/>
    <col min="3" max="3" width="16.140625" style="589" customWidth="1"/>
    <col min="4" max="4" width="14.28515625" style="589" customWidth="1"/>
    <col min="5" max="5" width="12.5703125" style="589" customWidth="1"/>
    <col min="6" max="6" width="12.85546875" style="589" customWidth="1"/>
    <col min="7" max="7" width="15" style="589" customWidth="1"/>
    <col min="8" max="8" width="18.140625" style="589" customWidth="1"/>
    <col min="9" max="12" width="9.140625" style="589"/>
    <col min="13" max="13" width="14.140625" style="589" customWidth="1"/>
    <col min="14" max="14" width="14.5703125" style="589" customWidth="1"/>
    <col min="15" max="15" width="12.7109375" style="589" customWidth="1"/>
    <col min="16" max="16" width="14.5703125" style="589" bestFit="1" customWidth="1"/>
    <col min="17" max="16384" width="9.140625" style="589"/>
  </cols>
  <sheetData>
    <row r="1" spans="1:16" ht="63.75">
      <c r="A1" s="614" t="s">
        <v>363</v>
      </c>
      <c r="B1" s="614"/>
      <c r="C1" s="950" t="s">
        <v>364</v>
      </c>
      <c r="D1" s="950" t="s">
        <v>365</v>
      </c>
      <c r="E1" s="950" t="s">
        <v>370</v>
      </c>
      <c r="F1" s="975" t="s">
        <v>374</v>
      </c>
      <c r="G1" s="975" t="s">
        <v>371</v>
      </c>
      <c r="H1" s="950" t="s">
        <v>372</v>
      </c>
      <c r="I1" s="614"/>
      <c r="J1" s="614"/>
      <c r="K1" s="614"/>
      <c r="L1" s="614"/>
    </row>
    <row r="2" spans="1:16" ht="21" customHeight="1">
      <c r="A2" s="1261" t="s">
        <v>366</v>
      </c>
      <c r="B2" s="950" t="s">
        <v>367</v>
      </c>
      <c r="C2" s="748">
        <v>4666047.97</v>
      </c>
      <c r="D2" s="748">
        <v>208465.04</v>
      </c>
      <c r="E2" s="748">
        <v>52141.599999999999</v>
      </c>
      <c r="F2" s="748">
        <v>247300</v>
      </c>
      <c r="G2" s="748">
        <f>(C2/12+D2/6+E2/4+F2/4)</f>
        <v>498441.90416666667</v>
      </c>
      <c r="H2" s="624">
        <f>C2+D2+E2+F2</f>
        <v>5173954.6099999994</v>
      </c>
      <c r="I2" s="614"/>
      <c r="J2" s="614"/>
      <c r="K2" s="614"/>
      <c r="L2" s="614"/>
      <c r="M2" s="951">
        <v>4874513.04</v>
      </c>
    </row>
    <row r="3" spans="1:16" ht="18" customHeight="1">
      <c r="A3" s="1262"/>
      <c r="B3" s="614" t="s">
        <v>368</v>
      </c>
      <c r="C3" s="748">
        <v>225792.82</v>
      </c>
      <c r="D3" s="748">
        <v>9709.09</v>
      </c>
      <c r="E3" s="748"/>
      <c r="F3" s="748">
        <v>11064</v>
      </c>
      <c r="G3" s="748">
        <f>(C3/12+D3/6+E3/4+F3/4)</f>
        <v>23200.25</v>
      </c>
      <c r="H3" s="624">
        <f t="shared" ref="H3:H4" si="0">C3+D3+E3+F3</f>
        <v>246565.91</v>
      </c>
      <c r="I3" s="614"/>
      <c r="J3" s="614"/>
      <c r="K3" s="614"/>
      <c r="L3" s="614"/>
      <c r="M3" s="951">
        <v>235499.09</v>
      </c>
    </row>
    <row r="4" spans="1:16" ht="27" customHeight="1" thickBot="1">
      <c r="A4" s="1262"/>
      <c r="B4" s="781" t="s">
        <v>369</v>
      </c>
      <c r="C4" s="978">
        <v>686593.73</v>
      </c>
      <c r="D4" s="978">
        <v>41361.730000000003</v>
      </c>
      <c r="E4" s="978"/>
      <c r="F4" s="978"/>
      <c r="G4" s="990">
        <f t="shared" ref="G4" si="1">(C4/12+D4/6+E4/4+F4/4)</f>
        <v>64109.765833333331</v>
      </c>
      <c r="H4" s="624">
        <f t="shared" si="0"/>
        <v>727955.46</v>
      </c>
      <c r="I4" s="781"/>
      <c r="J4" s="781"/>
      <c r="K4" s="781"/>
      <c r="L4" s="781"/>
      <c r="M4" s="951">
        <v>727953.73</v>
      </c>
    </row>
    <row r="5" spans="1:16" ht="17.25" customHeight="1">
      <c r="A5" s="1263" t="s">
        <v>373</v>
      </c>
      <c r="B5" s="979" t="s">
        <v>367</v>
      </c>
      <c r="C5" s="980">
        <v>5899990</v>
      </c>
      <c r="D5" s="980">
        <v>263593.63</v>
      </c>
      <c r="E5" s="980">
        <v>40060</v>
      </c>
      <c r="F5" s="980">
        <v>315059.28999999998</v>
      </c>
      <c r="G5" s="989">
        <f>(C5/12+D5/6+E5/4+F5/4)</f>
        <v>624377.92749999999</v>
      </c>
      <c r="H5" s="624">
        <f>C5+D5+E5+F5</f>
        <v>6518702.9199999999</v>
      </c>
      <c r="I5" s="982"/>
      <c r="J5" s="982"/>
      <c r="K5" s="982"/>
      <c r="L5" s="983"/>
      <c r="M5" s="977">
        <v>6163583.6299999999</v>
      </c>
    </row>
    <row r="6" spans="1:16" ht="15.75" customHeight="1">
      <c r="A6" s="1264"/>
      <c r="B6" s="614" t="s">
        <v>368</v>
      </c>
      <c r="C6" s="748"/>
      <c r="D6" s="748"/>
      <c r="E6" s="748"/>
      <c r="F6" s="748"/>
      <c r="G6" s="748">
        <f t="shared" ref="G6:G7" si="2">(C6/12+D6/6+E6/4+F6/4)</f>
        <v>0</v>
      </c>
      <c r="H6" s="624">
        <f t="shared" ref="H6:H7" si="3">C6+D6</f>
        <v>0</v>
      </c>
      <c r="I6" s="614"/>
      <c r="J6" s="614"/>
      <c r="K6" s="614"/>
      <c r="L6" s="984"/>
      <c r="M6" s="977"/>
    </row>
    <row r="7" spans="1:16" ht="15.75" customHeight="1" thickBot="1">
      <c r="A7" s="1265"/>
      <c r="B7" s="985" t="s">
        <v>369</v>
      </c>
      <c r="C7" s="986">
        <v>1024905.65</v>
      </c>
      <c r="D7" s="986">
        <v>29400</v>
      </c>
      <c r="E7" s="986"/>
      <c r="F7" s="986"/>
      <c r="G7" s="991">
        <f t="shared" si="2"/>
        <v>90308.804166666669</v>
      </c>
      <c r="H7" s="987">
        <f t="shared" si="3"/>
        <v>1054305.6499999999</v>
      </c>
      <c r="I7" s="985"/>
      <c r="J7" s="985"/>
      <c r="K7" s="985"/>
      <c r="L7" s="988"/>
      <c r="M7" s="977">
        <v>1054305.6499999999</v>
      </c>
    </row>
    <row r="8" spans="1:16" ht="22.5" customHeight="1">
      <c r="A8" s="1261" t="s">
        <v>375</v>
      </c>
      <c r="B8" s="976" t="s">
        <v>367</v>
      </c>
      <c r="C8" s="748">
        <f>4930734.97-47400.11</f>
        <v>4883334.8599999994</v>
      </c>
      <c r="D8" s="748">
        <v>220290.14</v>
      </c>
      <c r="E8" s="748">
        <v>67262.320000000007</v>
      </c>
      <c r="F8" s="748">
        <v>263301</v>
      </c>
      <c r="G8" s="748">
        <f>(C8/12+D8/6+E8/4+F8/4)</f>
        <v>526300.42499999993</v>
      </c>
      <c r="H8" s="624">
        <f>C8+D8+E8+F8</f>
        <v>5434188.3199999994</v>
      </c>
      <c r="I8" s="614"/>
      <c r="J8" s="614"/>
      <c r="K8" s="614"/>
      <c r="L8" s="614"/>
      <c r="M8" s="951">
        <f>7020125.44-1916500</f>
        <v>5103625.4400000004</v>
      </c>
    </row>
    <row r="9" spans="1:16" ht="16.5" customHeight="1">
      <c r="A9" s="1262"/>
      <c r="B9" s="614" t="s">
        <v>368</v>
      </c>
      <c r="C9" s="748"/>
      <c r="D9" s="748"/>
      <c r="E9" s="748"/>
      <c r="F9" s="748"/>
      <c r="G9" s="748">
        <f t="shared" ref="G9:G10" si="4">(C9/12+D9/6+E9/4+F9/4)</f>
        <v>0</v>
      </c>
      <c r="H9" s="624">
        <f t="shared" ref="H9:H10" si="5">C9+D9+E9+F9</f>
        <v>0</v>
      </c>
      <c r="I9" s="614"/>
      <c r="J9" s="614"/>
      <c r="K9" s="614"/>
      <c r="L9" s="614"/>
      <c r="M9" s="951"/>
    </row>
    <row r="10" spans="1:16" ht="18.75" customHeight="1" thickBot="1">
      <c r="A10" s="1262"/>
      <c r="B10" s="781" t="s">
        <v>369</v>
      </c>
      <c r="C10" s="978">
        <v>1024905.65</v>
      </c>
      <c r="D10" s="978">
        <v>29400</v>
      </c>
      <c r="E10" s="978"/>
      <c r="F10" s="978"/>
      <c r="G10" s="978">
        <f t="shared" si="4"/>
        <v>90308.804166666669</v>
      </c>
      <c r="H10" s="777">
        <f t="shared" si="5"/>
        <v>1054305.6499999999</v>
      </c>
      <c r="I10" s="781"/>
      <c r="J10" s="781"/>
      <c r="K10" s="781"/>
      <c r="L10" s="781"/>
      <c r="M10" s="951">
        <v>1054305.6499999999</v>
      </c>
    </row>
    <row r="11" spans="1:16" ht="29.25" customHeight="1">
      <c r="A11" s="1266" t="s">
        <v>376</v>
      </c>
      <c r="B11" s="979" t="s">
        <v>367</v>
      </c>
      <c r="C11" s="980">
        <v>4305395</v>
      </c>
      <c r="D11" s="980">
        <v>192352.13</v>
      </c>
      <c r="E11" s="980">
        <v>118628.72</v>
      </c>
      <c r="F11" s="980">
        <v>229908</v>
      </c>
      <c r="G11" s="980">
        <f>(C11/12+D11/6+E11/4+F11/4)</f>
        <v>477975.78500000003</v>
      </c>
      <c r="H11" s="981">
        <f>C11+D11+E11+F11</f>
        <v>4846283.8499999996</v>
      </c>
      <c r="I11" s="982"/>
      <c r="J11" s="982"/>
      <c r="K11" s="982"/>
      <c r="L11" s="983"/>
      <c r="M11" s="977">
        <v>4497747.13</v>
      </c>
      <c r="N11" s="767">
        <f>H11-M11</f>
        <v>348536.71999999974</v>
      </c>
    </row>
    <row r="12" spans="1:16" ht="14.25" customHeight="1">
      <c r="A12" s="1267"/>
      <c r="B12" s="614" t="s">
        <v>368</v>
      </c>
      <c r="C12" s="748"/>
      <c r="D12" s="748"/>
      <c r="E12" s="748"/>
      <c r="F12" s="748"/>
      <c r="G12" s="748">
        <f t="shared" ref="G12:G13" si="6">(C12/12+D12/6)</f>
        <v>0</v>
      </c>
      <c r="H12" s="624">
        <f t="shared" ref="H12:H13" si="7">C12+D12+E12+F12</f>
        <v>0</v>
      </c>
      <c r="I12" s="614"/>
      <c r="J12" s="614"/>
      <c r="K12" s="614"/>
      <c r="L12" s="984"/>
      <c r="M12" s="977"/>
    </row>
    <row r="13" spans="1:16" ht="25.5" customHeight="1" thickBot="1">
      <c r="A13" s="1268"/>
      <c r="B13" s="985" t="s">
        <v>369</v>
      </c>
      <c r="C13" s="986">
        <v>751194.53</v>
      </c>
      <c r="D13" s="986">
        <v>28377</v>
      </c>
      <c r="E13" s="986"/>
      <c r="F13" s="986"/>
      <c r="G13" s="986">
        <f t="shared" si="6"/>
        <v>67329.044166666659</v>
      </c>
      <c r="H13" s="987">
        <f t="shared" si="7"/>
        <v>779571.53</v>
      </c>
      <c r="I13" s="985"/>
      <c r="J13" s="985"/>
      <c r="K13" s="985"/>
      <c r="L13" s="988"/>
      <c r="M13" s="977">
        <v>779571.53</v>
      </c>
    </row>
    <row r="14" spans="1:16" ht="18.75" customHeight="1">
      <c r="A14" s="1255" t="s">
        <v>377</v>
      </c>
      <c r="B14" s="992" t="s">
        <v>367</v>
      </c>
      <c r="C14" s="980">
        <v>4567408.25</v>
      </c>
      <c r="D14" s="980">
        <f>204058.09-24900.09-0.16</f>
        <v>179157.84</v>
      </c>
      <c r="E14" s="748">
        <v>73605.84</v>
      </c>
      <c r="F14" s="980">
        <v>242100</v>
      </c>
      <c r="G14" s="748">
        <f>(C14/12+D14/6+E14/4+F14/4)</f>
        <v>489403.45416666672</v>
      </c>
      <c r="H14" s="981">
        <f>C14+D14+E14+F14</f>
        <v>5062271.93</v>
      </c>
      <c r="I14" s="982"/>
      <c r="J14" s="982"/>
      <c r="K14" s="982"/>
      <c r="L14" s="983"/>
      <c r="M14" s="951">
        <v>4746566.09</v>
      </c>
      <c r="N14" s="767">
        <f>H14-M14</f>
        <v>315705.83999999985</v>
      </c>
      <c r="O14" s="951">
        <v>4988666.09</v>
      </c>
      <c r="P14" s="657">
        <f>O14-H14</f>
        <v>-73605.839999999851</v>
      </c>
    </row>
    <row r="15" spans="1:16" ht="18" customHeight="1">
      <c r="A15" s="1256"/>
      <c r="B15" s="993" t="s">
        <v>368</v>
      </c>
      <c r="C15" s="748">
        <f>153079.88+16.12</f>
        <v>153096</v>
      </c>
      <c r="D15" s="748">
        <v>6582.43</v>
      </c>
      <c r="E15" s="748"/>
      <c r="F15" s="748">
        <v>7500</v>
      </c>
      <c r="G15" s="748">
        <f t="shared" ref="G15:G16" si="8">(C15/12+D15/6+E15/4+F15/4)</f>
        <v>15730.071666666667</v>
      </c>
      <c r="H15" s="624">
        <f t="shared" ref="H15:H16" si="9">C15+D15</f>
        <v>159678.43</v>
      </c>
      <c r="I15" s="614"/>
      <c r="J15" s="614"/>
      <c r="K15" s="614"/>
      <c r="L15" s="984"/>
      <c r="M15" s="977">
        <v>159678.43</v>
      </c>
      <c r="N15" s="767">
        <f>H15-M15</f>
        <v>0</v>
      </c>
    </row>
    <row r="16" spans="1:16" ht="15.75" customHeight="1" thickBot="1">
      <c r="A16" s="1257"/>
      <c r="B16" s="993" t="s">
        <v>369</v>
      </c>
      <c r="C16" s="748">
        <v>673888.29</v>
      </c>
      <c r="D16" s="748">
        <f>20766+34860</f>
        <v>55626</v>
      </c>
      <c r="E16" s="748"/>
      <c r="F16" s="748"/>
      <c r="G16" s="748">
        <f t="shared" si="8"/>
        <v>65428.357500000006</v>
      </c>
      <c r="H16" s="624">
        <f t="shared" si="9"/>
        <v>729514.29</v>
      </c>
      <c r="I16" s="614"/>
      <c r="J16" s="614"/>
      <c r="K16" s="614"/>
      <c r="L16" s="984"/>
      <c r="M16" s="951">
        <v>729514.29</v>
      </c>
      <c r="N16" s="767">
        <f>H16-M16</f>
        <v>0</v>
      </c>
    </row>
    <row r="17" spans="1:14" s="1005" customFormat="1" ht="19.5" customHeight="1">
      <c r="A17" s="1258" t="s">
        <v>378</v>
      </c>
      <c r="B17" s="997" t="s">
        <v>367</v>
      </c>
      <c r="C17" s="998">
        <v>6765350</v>
      </c>
      <c r="D17" s="998">
        <f>316154.6-49900+311101</f>
        <v>577355.6</v>
      </c>
      <c r="E17" s="998"/>
      <c r="F17" s="998"/>
      <c r="G17" s="999">
        <f t="shared" ref="G17:G19" si="10">(C17/12+D17/6)</f>
        <v>660005.1</v>
      </c>
      <c r="H17" s="1000">
        <f>C17+D17</f>
        <v>7342705.5999999996</v>
      </c>
      <c r="I17" s="1001"/>
      <c r="J17" s="1001"/>
      <c r="K17" s="1001"/>
      <c r="L17" s="1002"/>
      <c r="M17" s="1003">
        <v>7342705.5999999996</v>
      </c>
      <c r="N17" s="1004">
        <f>M17-H17</f>
        <v>0</v>
      </c>
    </row>
    <row r="18" spans="1:14" s="1005" customFormat="1" ht="22.5" customHeight="1">
      <c r="A18" s="1259"/>
      <c r="B18" s="1006" t="s">
        <v>368</v>
      </c>
      <c r="C18" s="1007">
        <f>887863.29-13.29</f>
        <v>887850</v>
      </c>
      <c r="D18" s="1007">
        <v>38178.120000000003</v>
      </c>
      <c r="E18" s="1007"/>
      <c r="F18" s="1007"/>
      <c r="G18" s="1007">
        <f t="shared" si="10"/>
        <v>80350.52</v>
      </c>
      <c r="H18" s="1008">
        <f>C18+D18</f>
        <v>926028.12</v>
      </c>
      <c r="I18" s="1009"/>
      <c r="J18" s="1009"/>
      <c r="K18" s="1009"/>
      <c r="L18" s="1010"/>
      <c r="M18" s="1003">
        <v>926028.12</v>
      </c>
      <c r="N18" s="1004">
        <f>M18-H18</f>
        <v>0</v>
      </c>
    </row>
    <row r="19" spans="1:14" s="1005" customFormat="1" ht="27.75" customHeight="1">
      <c r="A19" s="1260"/>
      <c r="B19" s="1006" t="s">
        <v>369</v>
      </c>
      <c r="C19" s="1007">
        <v>1860634.79</v>
      </c>
      <c r="D19" s="1007">
        <f>55926+69860+39477</f>
        <v>165263</v>
      </c>
      <c r="E19" s="1007"/>
      <c r="F19" s="1007"/>
      <c r="G19" s="1007">
        <f t="shared" si="10"/>
        <v>182596.73250000001</v>
      </c>
      <c r="H19" s="1008">
        <f t="shared" ref="H19" si="11">C19+D19</f>
        <v>2025897.79</v>
      </c>
      <c r="I19" s="1009"/>
      <c r="J19" s="1009"/>
      <c r="K19" s="1009"/>
      <c r="L19" s="1010"/>
      <c r="M19" s="1003">
        <v>2025897.79</v>
      </c>
      <c r="N19" s="1004">
        <f>H19-M19</f>
        <v>0</v>
      </c>
    </row>
    <row r="20" spans="1:14" ht="13.5" thickBot="1">
      <c r="A20" s="995"/>
      <c r="B20" s="996"/>
      <c r="C20" s="985"/>
      <c r="D20" s="985"/>
      <c r="E20" s="985"/>
      <c r="F20" s="985"/>
      <c r="G20" s="985"/>
      <c r="H20" s="985"/>
      <c r="I20" s="985"/>
      <c r="J20" s="985"/>
      <c r="K20" s="985"/>
      <c r="L20" s="988"/>
    </row>
    <row r="21" spans="1:14" ht="15.75" customHeight="1">
      <c r="A21" s="1255" t="s">
        <v>379</v>
      </c>
      <c r="B21" s="992" t="s">
        <v>367</v>
      </c>
      <c r="C21" s="980">
        <v>12962612.67</v>
      </c>
      <c r="D21" s="980">
        <f>578881-155263</f>
        <v>423618</v>
      </c>
      <c r="E21" s="980">
        <v>92504</v>
      </c>
      <c r="F21" s="980">
        <v>692828</v>
      </c>
      <c r="G21" s="748">
        <f t="shared" ref="G21:G23" si="12">(C21/12+D21/6+E21/4+F21/4)</f>
        <v>1347153.7224999999</v>
      </c>
      <c r="H21" s="994">
        <f t="shared" ref="H21:H23" si="13">C21+D21+E21+F21</f>
        <v>14171562.67</v>
      </c>
      <c r="I21" s="982"/>
      <c r="J21" s="982"/>
      <c r="K21" s="982"/>
      <c r="L21" s="983"/>
      <c r="M21" s="951">
        <v>7342705.5999999996</v>
      </c>
      <c r="N21" s="767">
        <f>M21-H21</f>
        <v>-6828857.0700000003</v>
      </c>
    </row>
    <row r="22" spans="1:14" ht="23.25" customHeight="1">
      <c r="A22" s="1256"/>
      <c r="B22" s="993" t="s">
        <v>368</v>
      </c>
      <c r="C22" s="748">
        <v>1321485.57</v>
      </c>
      <c r="D22" s="748">
        <v>53811</v>
      </c>
      <c r="E22" s="748">
        <v>61320</v>
      </c>
      <c r="F22" s="748"/>
      <c r="G22" s="748">
        <f t="shared" si="12"/>
        <v>134422.29749999999</v>
      </c>
      <c r="H22" s="624">
        <f t="shared" si="13"/>
        <v>1436616.57</v>
      </c>
      <c r="I22" s="614"/>
      <c r="J22" s="614"/>
      <c r="K22" s="614"/>
      <c r="L22" s="984"/>
      <c r="M22" s="951">
        <v>926028.12</v>
      </c>
      <c r="N22" s="767">
        <f>M22-H22</f>
        <v>-510588.45000000007</v>
      </c>
    </row>
    <row r="23" spans="1:14" ht="30" customHeight="1">
      <c r="A23" s="1257"/>
      <c r="B23" s="993" t="s">
        <v>369</v>
      </c>
      <c r="C23" s="748">
        <v>4115561.44</v>
      </c>
      <c r="D23" s="748"/>
      <c r="E23" s="748"/>
      <c r="F23" s="748"/>
      <c r="G23" s="748">
        <f t="shared" si="12"/>
        <v>342963.45333333331</v>
      </c>
      <c r="H23" s="780">
        <f t="shared" si="13"/>
        <v>4115561.44</v>
      </c>
      <c r="I23" s="614"/>
      <c r="J23" s="614"/>
      <c r="K23" s="614"/>
      <c r="L23" s="984"/>
      <c r="M23" s="951">
        <v>2025897.79</v>
      </c>
      <c r="N23" s="767">
        <f>H23-M23</f>
        <v>2089663.65</v>
      </c>
    </row>
    <row r="24" spans="1:14" ht="13.5" thickBot="1">
      <c r="A24" s="995"/>
      <c r="B24" s="996"/>
      <c r="C24" s="985"/>
      <c r="D24" s="985"/>
      <c r="E24" s="985"/>
      <c r="F24" s="985"/>
      <c r="G24" s="985"/>
      <c r="H24" s="985"/>
      <c r="I24" s="985"/>
      <c r="J24" s="985"/>
      <c r="K24" s="985"/>
      <c r="L24" s="988"/>
    </row>
    <row r="25" spans="1:14">
      <c r="C25" s="767"/>
    </row>
    <row r="27" spans="1:14">
      <c r="C27" s="767"/>
    </row>
    <row r="28" spans="1:14">
      <c r="G28" s="657">
        <f>G14+G15</f>
        <v>505133.52583333338</v>
      </c>
    </row>
    <row r="29" spans="1:14">
      <c r="C29" s="767"/>
    </row>
    <row r="30" spans="1:14" ht="13.5" thickBot="1">
      <c r="C30" s="767"/>
      <c r="G30" s="657">
        <f>G21+G22</f>
        <v>1481576.02</v>
      </c>
    </row>
    <row r="31" spans="1:14" ht="15.75" customHeight="1">
      <c r="A31" s="1255" t="s">
        <v>381</v>
      </c>
      <c r="B31" s="992"/>
      <c r="C31" s="980"/>
      <c r="D31" s="980">
        <f>578881-155263</f>
        <v>423618</v>
      </c>
      <c r="E31" s="980">
        <v>92504</v>
      </c>
      <c r="F31" s="980">
        <v>692828</v>
      </c>
      <c r="G31" s="748">
        <f t="shared" ref="G31:G33" si="14">(C31/12+D31/6+E31/4+F31/4)</f>
        <v>266936</v>
      </c>
      <c r="H31" s="994">
        <f t="shared" ref="H31:H33" si="15">C31+D31+E31+F31</f>
        <v>1208950</v>
      </c>
      <c r="I31" s="982"/>
      <c r="J31" s="982"/>
      <c r="K31" s="982"/>
      <c r="L31" s="983"/>
      <c r="M31" s="951">
        <v>7342705.5999999996</v>
      </c>
      <c r="N31" s="767">
        <f>M31-H31</f>
        <v>6133755.5999999996</v>
      </c>
    </row>
    <row r="32" spans="1:14" ht="23.25" customHeight="1">
      <c r="A32" s="1256"/>
      <c r="B32" s="993"/>
      <c r="C32" s="748"/>
      <c r="D32" s="748">
        <v>53811</v>
      </c>
      <c r="E32" s="748">
        <v>61320</v>
      </c>
      <c r="F32" s="748"/>
      <c r="G32" s="748">
        <f t="shared" si="14"/>
        <v>24298.5</v>
      </c>
      <c r="H32" s="624">
        <f t="shared" si="15"/>
        <v>115131</v>
      </c>
      <c r="I32" s="614"/>
      <c r="J32" s="614"/>
      <c r="K32" s="614"/>
      <c r="L32" s="984"/>
      <c r="M32" s="951">
        <v>926028.12</v>
      </c>
      <c r="N32" s="767">
        <f>M32-H32</f>
        <v>810897.12</v>
      </c>
    </row>
    <row r="33" spans="1:14" ht="30" customHeight="1">
      <c r="A33" s="1257"/>
      <c r="B33" s="993"/>
      <c r="C33" s="748"/>
      <c r="D33" s="748"/>
      <c r="E33" s="748"/>
      <c r="F33" s="748"/>
      <c r="G33" s="748">
        <f t="shared" si="14"/>
        <v>0</v>
      </c>
      <c r="H33" s="780">
        <f t="shared" si="15"/>
        <v>0</v>
      </c>
      <c r="I33" s="614"/>
      <c r="J33" s="614"/>
      <c r="K33" s="614"/>
      <c r="L33" s="984"/>
      <c r="M33" s="951">
        <v>2025897.79</v>
      </c>
      <c r="N33" s="767">
        <f>H33-M33</f>
        <v>-2025897.79</v>
      </c>
    </row>
    <row r="34" spans="1:14" ht="13.5" thickBot="1">
      <c r="A34" s="995"/>
      <c r="B34" s="996"/>
      <c r="C34" s="985"/>
      <c r="D34" s="985"/>
      <c r="E34" s="985"/>
      <c r="F34" s="985"/>
      <c r="G34" s="985"/>
      <c r="H34" s="985"/>
      <c r="I34" s="985"/>
      <c r="J34" s="985"/>
      <c r="K34" s="985"/>
      <c r="L34" s="988"/>
    </row>
  </sheetData>
  <mergeCells count="8">
    <mergeCell ref="A31:A33"/>
    <mergeCell ref="A17:A19"/>
    <mergeCell ref="A21:A23"/>
    <mergeCell ref="A2:A4"/>
    <mergeCell ref="A5:A7"/>
    <mergeCell ref="A8:A10"/>
    <mergeCell ref="A11:A13"/>
    <mergeCell ref="A14:A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99FF"/>
  </sheetPr>
  <dimension ref="A1:CJ90"/>
  <sheetViews>
    <sheetView topLeftCell="A24" workbookViewId="0">
      <selection activeCell="K106" sqref="K106"/>
    </sheetView>
  </sheetViews>
  <sheetFormatPr defaultRowHeight="12"/>
  <cols>
    <col min="1" max="1" width="18.140625" style="1" customWidth="1"/>
    <col min="2" max="2" width="21.28515625" style="1" customWidth="1"/>
    <col min="3" max="3" width="6.42578125" style="1" hidden="1" customWidth="1"/>
    <col min="4" max="4" width="10.85546875" style="1" customWidth="1"/>
    <col min="5" max="5" width="11.42578125" style="1" customWidth="1"/>
    <col min="6" max="6" width="12.140625" style="1" customWidth="1"/>
    <col min="7" max="7" width="10.5703125" style="1" customWidth="1"/>
    <col min="8" max="8" width="11.7109375" style="1" customWidth="1"/>
    <col min="9" max="9" width="13.28515625" style="1" customWidth="1"/>
    <col min="10" max="10" width="13.5703125" style="1" customWidth="1"/>
    <col min="11" max="11" width="14.7109375" style="1" customWidth="1"/>
    <col min="12" max="12" width="15.28515625" style="1" hidden="1" customWidth="1"/>
    <col min="13" max="13" width="13.28515625" style="1" hidden="1" customWidth="1"/>
    <col min="14" max="14" width="12.7109375" style="1" hidden="1" customWidth="1"/>
    <col min="15" max="15" width="9.140625" style="1" hidden="1" customWidth="1"/>
    <col min="16" max="16" width="5.140625" style="1" customWidth="1"/>
    <col min="17" max="17" width="8" style="1" customWidth="1"/>
    <col min="18" max="18" width="15.5703125" style="1" customWidth="1"/>
    <col min="19" max="19" width="9.140625" style="1" customWidth="1"/>
    <col min="20" max="20" width="10.5703125" style="1" customWidth="1"/>
    <col min="21" max="21" width="9.140625" style="1" customWidth="1"/>
    <col min="22" max="22" width="11.7109375" style="1" customWidth="1"/>
    <col min="23" max="23" width="9.140625" style="1" customWidth="1"/>
    <col min="24" max="24" width="13" style="1" customWidth="1"/>
    <col min="25" max="25" width="12.42578125" style="1" customWidth="1"/>
    <col min="26" max="26" width="17.7109375" style="1" customWidth="1"/>
    <col min="27" max="27" width="12.28515625" style="1" customWidth="1"/>
    <col min="28" max="28" width="11" style="1" customWidth="1"/>
    <col min="29" max="29" width="12.28515625" style="1" customWidth="1"/>
    <col min="30" max="30" width="12.7109375" style="1" customWidth="1"/>
    <col min="31" max="31" width="15.140625" style="1" customWidth="1"/>
    <col min="32" max="32" width="11.85546875" style="1" customWidth="1"/>
    <col min="33" max="33" width="15" style="1" customWidth="1"/>
    <col min="34" max="34" width="14" style="1" customWidth="1"/>
    <col min="35" max="35" width="11.28515625" style="1" customWidth="1"/>
    <col min="36" max="36" width="12.42578125" style="1" customWidth="1"/>
    <col min="37" max="37" width="9.140625" style="1" customWidth="1"/>
    <col min="38" max="38" width="12.28515625" style="1" customWidth="1"/>
    <col min="39" max="39" width="11.42578125" style="1" customWidth="1"/>
    <col min="40" max="40" width="12.7109375" style="1" customWidth="1"/>
    <col min="41" max="41" width="9.140625" style="1" customWidth="1"/>
    <col min="42" max="42" width="6.85546875" style="1" customWidth="1"/>
    <col min="43" max="43" width="4" style="1" customWidth="1"/>
    <col min="44" max="49" width="9.140625" style="1" customWidth="1"/>
    <col min="50" max="50" width="11.5703125" style="1" customWidth="1"/>
    <col min="51" max="53" width="9.140625" style="1" customWidth="1"/>
    <col min="54" max="54" width="7.28515625" style="1" customWidth="1"/>
    <col min="55" max="55" width="9.140625" style="1" customWidth="1"/>
    <col min="56" max="56" width="9.140625" style="1"/>
    <col min="57" max="57" width="12" style="1" customWidth="1"/>
    <col min="58" max="58" width="9.140625" style="1"/>
    <col min="59" max="67" width="9.140625" style="1" customWidth="1"/>
    <col min="68" max="68" width="11.5703125" style="1" customWidth="1"/>
    <col min="69" max="69" width="9.140625" style="1"/>
    <col min="70" max="70" width="11.7109375" style="1" customWidth="1"/>
    <col min="71" max="71" width="2.5703125" style="1" customWidth="1"/>
    <col min="72" max="72" width="13" style="1" customWidth="1"/>
    <col min="73" max="73" width="12.42578125" style="1" customWidth="1"/>
    <col min="74" max="74" width="5.140625" style="1" customWidth="1"/>
    <col min="75" max="88" width="9.140625" style="1" customWidth="1"/>
    <col min="89" max="16384" width="9.140625" style="1"/>
  </cols>
  <sheetData>
    <row r="1" spans="1:88">
      <c r="A1" s="293"/>
      <c r="B1" s="293"/>
      <c r="C1" s="293"/>
      <c r="D1" s="293"/>
      <c r="E1" s="293"/>
      <c r="F1" s="293"/>
      <c r="G1" s="293"/>
      <c r="H1" s="293"/>
      <c r="I1" s="1284" t="s">
        <v>0</v>
      </c>
      <c r="J1" s="1285"/>
      <c r="K1" s="1285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1288"/>
      <c r="BT1" s="1288"/>
      <c r="BU1" s="1288"/>
      <c r="BV1" s="1288"/>
      <c r="BW1" s="1288"/>
      <c r="BX1" s="1288"/>
      <c r="BY1" s="1288"/>
      <c r="BZ1" s="1288"/>
      <c r="CA1" s="1288"/>
      <c r="CB1" s="1288"/>
      <c r="CC1" s="1288"/>
      <c r="CD1" s="1288"/>
      <c r="CE1" s="1288"/>
      <c r="CF1" s="1288"/>
      <c r="CG1" s="1288"/>
      <c r="CH1" s="1288"/>
      <c r="CI1" s="1288"/>
      <c r="CJ1" s="1288"/>
    </row>
    <row r="2" spans="1:88">
      <c r="F2" s="293" t="s">
        <v>2</v>
      </c>
      <c r="G2" s="293"/>
      <c r="H2" s="294" t="s">
        <v>1</v>
      </c>
    </row>
    <row r="3" spans="1:88">
      <c r="F3" s="293"/>
      <c r="G3" s="293"/>
      <c r="H3" s="294" t="s">
        <v>162</v>
      </c>
    </row>
    <row r="4" spans="1:88">
      <c r="A4" s="293"/>
      <c r="B4" s="293"/>
      <c r="C4" s="293"/>
      <c r="D4" s="293"/>
      <c r="E4" s="293"/>
      <c r="F4" s="293" t="s">
        <v>4</v>
      </c>
      <c r="G4" s="293"/>
      <c r="H4" s="294" t="s">
        <v>161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1289"/>
      <c r="BV4" s="1289"/>
      <c r="BW4" s="1289"/>
      <c r="BX4" s="1289"/>
      <c r="BY4" s="1289"/>
      <c r="BZ4" s="1289"/>
      <c r="CA4" s="1289"/>
      <c r="CB4" s="1289"/>
      <c r="CC4" s="1289"/>
      <c r="CD4" s="1289"/>
      <c r="CE4" s="1289"/>
      <c r="CF4" s="1289"/>
      <c r="CG4" s="1289"/>
      <c r="CH4" s="1289"/>
      <c r="CI4" s="1289"/>
      <c r="CJ4" s="1289"/>
    </row>
    <row r="5" spans="1:88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1289"/>
      <c r="BV5" s="1289"/>
      <c r="BW5" s="1289"/>
      <c r="BX5" s="1289"/>
      <c r="BY5" s="1289"/>
      <c r="BZ5" s="1289"/>
      <c r="CA5" s="1289"/>
      <c r="CB5" s="1289"/>
      <c r="CC5" s="1289"/>
      <c r="CD5" s="1289"/>
      <c r="CE5" s="1289"/>
      <c r="CF5" s="1289"/>
      <c r="CG5" s="1289"/>
      <c r="CH5" s="1289"/>
      <c r="CI5" s="1289"/>
      <c r="CJ5" s="1289"/>
    </row>
    <row r="6" spans="1:88">
      <c r="A6" s="1418"/>
      <c r="B6" s="1402"/>
      <c r="C6" s="1402"/>
      <c r="D6" s="1402"/>
      <c r="E6" s="1402"/>
      <c r="F6" s="1402"/>
      <c r="G6" s="1402"/>
      <c r="H6" s="1402"/>
      <c r="I6" s="1402"/>
      <c r="J6" s="1402"/>
      <c r="K6" s="1402"/>
    </row>
    <row r="7" spans="1:88">
      <c r="A7" s="1418"/>
      <c r="B7" s="1402"/>
      <c r="C7" s="1402"/>
      <c r="D7" s="1402"/>
      <c r="E7" s="1402"/>
      <c r="F7" s="1402"/>
      <c r="G7" s="1402"/>
      <c r="H7" s="1402"/>
      <c r="I7" s="1402"/>
      <c r="J7" s="1402"/>
      <c r="K7" s="1402"/>
    </row>
    <row r="8" spans="1:88">
      <c r="A8" s="189"/>
      <c r="B8" s="189"/>
      <c r="C8" s="190"/>
      <c r="D8" s="190"/>
      <c r="E8" s="190"/>
      <c r="F8" s="190"/>
      <c r="G8" s="190"/>
      <c r="H8" s="190"/>
      <c r="I8" s="189"/>
      <c r="J8" s="189"/>
      <c r="K8" s="189"/>
    </row>
    <row r="9" spans="1:88">
      <c r="A9" s="189"/>
      <c r="B9" s="189"/>
      <c r="C9" s="190"/>
      <c r="D9" s="190"/>
      <c r="E9" s="1283" t="s">
        <v>9</v>
      </c>
      <c r="F9" s="1283"/>
      <c r="G9" s="1283" t="s">
        <v>10</v>
      </c>
      <c r="H9" s="1283"/>
      <c r="I9" s="189"/>
      <c r="J9" s="189"/>
      <c r="K9" s="189"/>
    </row>
    <row r="10" spans="1:88">
      <c r="B10" s="269" t="s">
        <v>184</v>
      </c>
      <c r="C10" s="190"/>
      <c r="D10" s="190"/>
      <c r="E10" s="1283">
        <v>1</v>
      </c>
      <c r="F10" s="1283"/>
      <c r="G10" s="1292"/>
      <c r="H10" s="1283"/>
      <c r="I10" s="189" t="s">
        <v>12</v>
      </c>
      <c r="J10" s="189"/>
      <c r="K10" s="189"/>
    </row>
    <row r="11" spans="1:88">
      <c r="A11" s="189"/>
      <c r="B11" s="189"/>
      <c r="C11" s="190"/>
      <c r="D11" s="190"/>
      <c r="E11" s="190"/>
      <c r="F11" s="190"/>
      <c r="G11" s="190"/>
      <c r="H11" s="190"/>
      <c r="I11" s="190" t="s">
        <v>13</v>
      </c>
      <c r="J11" s="190"/>
      <c r="K11" s="190"/>
    </row>
    <row r="12" spans="1:88">
      <c r="A12" s="190"/>
      <c r="B12" s="295" t="s">
        <v>195</v>
      </c>
      <c r="C12" s="190"/>
      <c r="D12" s="190"/>
      <c r="E12" s="190"/>
      <c r="F12" s="190"/>
      <c r="G12" s="190"/>
      <c r="H12" s="190"/>
      <c r="I12" s="190" t="s">
        <v>14</v>
      </c>
      <c r="J12" s="193"/>
      <c r="K12" s="190"/>
    </row>
    <row r="13" spans="1:88">
      <c r="A13" s="190"/>
      <c r="B13" s="190"/>
      <c r="C13" s="190"/>
      <c r="D13" s="190"/>
      <c r="E13" s="190"/>
      <c r="F13" s="190"/>
      <c r="G13" s="190"/>
      <c r="H13" s="190"/>
      <c r="I13" s="190" t="s">
        <v>141</v>
      </c>
      <c r="J13" s="193" t="e">
        <f>J67</f>
        <v>#REF!</v>
      </c>
      <c r="K13" s="190"/>
    </row>
    <row r="14" spans="1:88">
      <c r="A14" s="190"/>
      <c r="B14" s="194" t="s">
        <v>174</v>
      </c>
      <c r="C14" s="195"/>
      <c r="D14" s="206">
        <f>'нов сад'!D14+'расс сад'!D14+'суриков сад'!D14</f>
        <v>332</v>
      </c>
      <c r="E14" s="189"/>
      <c r="F14" s="189"/>
      <c r="G14" s="189"/>
      <c r="H14" s="190"/>
      <c r="I14" s="190" t="s">
        <v>15</v>
      </c>
      <c r="J14" s="190"/>
      <c r="K14" s="296" t="e">
        <f>D67</f>
        <v>#REF!</v>
      </c>
    </row>
    <row r="15" spans="1:88">
      <c r="B15" s="196" t="s">
        <v>173</v>
      </c>
      <c r="C15" s="197"/>
      <c r="D15" s="206">
        <f>'нов сад'!D15+'расс сад'!D15+'суриков сад'!D15</f>
        <v>20</v>
      </c>
      <c r="E15" s="198"/>
      <c r="F15" s="198"/>
      <c r="G15" s="198"/>
      <c r="K15" s="199" t="s">
        <v>16</v>
      </c>
    </row>
    <row r="16" spans="1:88">
      <c r="A16" s="1283" t="s">
        <v>17</v>
      </c>
      <c r="B16" s="1283" t="s">
        <v>18</v>
      </c>
      <c r="C16" s="1283" t="s">
        <v>19</v>
      </c>
      <c r="D16" s="1283" t="s">
        <v>20</v>
      </c>
      <c r="E16" s="1283" t="s">
        <v>21</v>
      </c>
      <c r="F16" s="1283" t="s">
        <v>5</v>
      </c>
      <c r="G16" s="1283" t="s">
        <v>6</v>
      </c>
      <c r="H16" s="1283"/>
      <c r="I16" s="1283" t="s">
        <v>7</v>
      </c>
      <c r="J16" s="1283" t="s">
        <v>22</v>
      </c>
      <c r="K16" s="1283" t="s">
        <v>196</v>
      </c>
    </row>
    <row r="17" spans="1:17" ht="36">
      <c r="A17" s="1283"/>
      <c r="B17" s="1283"/>
      <c r="C17" s="1283"/>
      <c r="D17" s="1283"/>
      <c r="E17" s="1283"/>
      <c r="F17" s="1283"/>
      <c r="G17" s="276" t="s">
        <v>24</v>
      </c>
      <c r="H17" s="276" t="s">
        <v>25</v>
      </c>
      <c r="I17" s="1283"/>
      <c r="J17" s="1283"/>
      <c r="K17" s="1283"/>
    </row>
    <row r="18" spans="1:17">
      <c r="A18" s="200"/>
      <c r="B18" s="1277" t="s">
        <v>142</v>
      </c>
      <c r="C18" s="1278"/>
      <c r="D18" s="1278"/>
      <c r="E18" s="1278"/>
      <c r="F18" s="1278"/>
      <c r="G18" s="1278"/>
      <c r="H18" s="1278"/>
      <c r="I18" s="1278"/>
      <c r="J18" s="1278"/>
      <c r="K18" s="1278"/>
    </row>
    <row r="19" spans="1:17" ht="36">
      <c r="A19" s="1279" t="s">
        <v>188</v>
      </c>
      <c r="B19" s="274" t="s">
        <v>165</v>
      </c>
      <c r="C19" s="275"/>
      <c r="D19" s="119">
        <f>'расс сад'!D19+'суриков сад'!D19+'об сад нов'!D19</f>
        <v>2</v>
      </c>
      <c r="E19" s="119">
        <f>'расс сад'!E19+'суриков сад'!E19+'об сад нов'!E19</f>
        <v>37630</v>
      </c>
      <c r="F19" s="119">
        <f>'расс сад'!F19+'суриков сад'!F19+'об сад нов'!F19</f>
        <v>37630</v>
      </c>
      <c r="G19" s="119">
        <f>'расс сад'!G19+'суриков сад'!G19+'об сад нов'!G19</f>
        <v>9407.5</v>
      </c>
      <c r="H19" s="119">
        <f>'расс сад'!H19+'суриков сад'!H19+'об сад нов'!H19</f>
        <v>9591.7000000000007</v>
      </c>
      <c r="I19" s="119">
        <f>'расс сад'!I19+'суриков сад'!I19+'об сад нов'!I19</f>
        <v>33977.519999999997</v>
      </c>
      <c r="J19" s="119">
        <f>'расс сад'!J19+'суриков сад'!J19+'об сад нов'!J19</f>
        <v>90606.720000000001</v>
      </c>
      <c r="K19" s="119">
        <f>'расс сад'!K19+'суриков сад'!K19+'об сад нов'!K19</f>
        <v>846785.27999999991</v>
      </c>
      <c r="L19" s="259">
        <f>J19*12</f>
        <v>1087280.6400000001</v>
      </c>
    </row>
    <row r="20" spans="1:17" ht="25.5" customHeight="1">
      <c r="A20" s="1280"/>
      <c r="B20" s="274" t="s">
        <v>150</v>
      </c>
      <c r="C20" s="275"/>
      <c r="D20" s="119">
        <f>'расс сад'!D20+'суриков сад'!D20+'об сад нов'!D20</f>
        <v>2</v>
      </c>
      <c r="E20" s="119">
        <f>'расс сад'!E20+'суриков сад'!E20+'об сад нов'!E20</f>
        <v>20272</v>
      </c>
      <c r="F20" s="119">
        <f>'расс сад'!F20+'суриков сад'!F20+'об сад нов'!F20</f>
        <v>20272</v>
      </c>
      <c r="G20" s="119">
        <f>'расс сад'!G20+'суриков сад'!G20+'об сад нов'!G20</f>
        <v>5068</v>
      </c>
      <c r="H20" s="119">
        <f>'расс сад'!H20+'суриков сад'!H20+'об сад нов'!H20</f>
        <v>5068</v>
      </c>
      <c r="I20" s="119">
        <f>'расс сад'!I20+'суриков сад'!I20+'об сад нов'!I20</f>
        <v>18244.8</v>
      </c>
      <c r="J20" s="119">
        <f>'расс сад'!J20+'суриков сад'!J20+'об сад нов'!J20</f>
        <v>48652.799999999996</v>
      </c>
      <c r="K20" s="119">
        <f>'расс сад'!K20+'суриков сад'!K20+'об сад нов'!K20</f>
        <v>431855.99999999994</v>
      </c>
      <c r="L20" s="259">
        <f t="shared" ref="L20:L67" si="0">J20*12</f>
        <v>583833.59999999998</v>
      </c>
    </row>
    <row r="21" spans="1:17" ht="24">
      <c r="A21" s="1281"/>
      <c r="B21" s="274" t="s">
        <v>166</v>
      </c>
      <c r="C21" s="275"/>
      <c r="D21" s="119">
        <f>'расс сад'!D21+'суриков сад'!D21+'об сад нов'!D21</f>
        <v>1</v>
      </c>
      <c r="E21" s="119">
        <f>'расс сад'!E21+'суриков сад'!E21+'об сад нов'!E21</f>
        <v>13815</v>
      </c>
      <c r="F21" s="119">
        <f>'расс сад'!F21+'суриков сад'!F21+'об сад нов'!F21</f>
        <v>13815</v>
      </c>
      <c r="G21" s="119">
        <f>'расс сад'!G21+'суриков сад'!G21+'об сад нов'!G21</f>
        <v>3453.75</v>
      </c>
      <c r="H21" s="119">
        <f>'расс сад'!H21+'суриков сад'!H21+'об сад нов'!H21</f>
        <v>4144.5</v>
      </c>
      <c r="I21" s="119">
        <f>'расс сад'!I21+'суриков сад'!I21+'об сад нов'!I21</f>
        <v>12847.949999999999</v>
      </c>
      <c r="J21" s="119">
        <f>'расс сад'!J21+'суриков сад'!J21+'об сад нов'!J21</f>
        <v>34261.199999999997</v>
      </c>
      <c r="K21" s="119">
        <f>'расс сад'!K21+'суриков сад'!K21+'об сад нов'!K21</f>
        <v>411134.39999999997</v>
      </c>
      <c r="L21" s="259">
        <f t="shared" si="0"/>
        <v>411134.39999999997</v>
      </c>
    </row>
    <row r="22" spans="1:17" ht="48">
      <c r="A22" s="1281"/>
      <c r="B22" s="208" t="s">
        <v>167</v>
      </c>
      <c r="C22" s="209"/>
      <c r="D22" s="119">
        <f>'расс сад'!D22+'суриков сад'!D22+'об сад нов'!D22</f>
        <v>1</v>
      </c>
      <c r="E22" s="119">
        <f>'расс сад'!E22+'суриков сад'!E22+'об сад нов'!E22</f>
        <v>13815</v>
      </c>
      <c r="F22" s="119">
        <f>'расс сад'!F22+'суриков сад'!F22+'об сад нов'!F22</f>
        <v>13815</v>
      </c>
      <c r="G22" s="119">
        <f>'расс сад'!G22+'суриков сад'!G22+'об сад нов'!G22</f>
        <v>3453.75</v>
      </c>
      <c r="H22" s="119">
        <f>'расс сад'!H22+'суриков сад'!H22+'об сад нов'!H22</f>
        <v>5526</v>
      </c>
      <c r="I22" s="119">
        <f>'расс сад'!I22+'суриков сад'!I22+'об сад нов'!I22</f>
        <v>13676.85</v>
      </c>
      <c r="J22" s="119">
        <f>'расс сад'!J22+'суриков сад'!J22+'об сад нов'!J22</f>
        <v>36471.599999999999</v>
      </c>
      <c r="K22" s="119">
        <f>'расс сад'!K22+'суриков сад'!K22+'об сад нов'!K22</f>
        <v>437659.19999999995</v>
      </c>
      <c r="L22" s="259">
        <f t="shared" si="0"/>
        <v>437659.19999999995</v>
      </c>
      <c r="Q22" s="2" t="e">
        <f>D19+D20+D21+D22+D23+D24+D26+D28+D27</f>
        <v>#REF!</v>
      </c>
    </row>
    <row r="23" spans="1:17" ht="24" customHeight="1">
      <c r="A23" s="1281"/>
      <c r="B23" s="208" t="s">
        <v>168</v>
      </c>
      <c r="C23" s="209"/>
      <c r="D23" s="119">
        <f>'расс сад'!D23+'суриков сад'!D23+'об сад нов'!D23</f>
        <v>1.5</v>
      </c>
      <c r="E23" s="119">
        <f>'расс сад'!E23+'суриков сад'!E23+'об сад нов'!E23</f>
        <v>13484</v>
      </c>
      <c r="F23" s="119">
        <f>'расс сад'!F23+'суриков сад'!F23+'об сад нов'!F23</f>
        <v>10113</v>
      </c>
      <c r="G23" s="119">
        <f>'расс сад'!G23+'суриков сад'!G23+'об сад нов'!G23</f>
        <v>10955.75</v>
      </c>
      <c r="H23" s="119">
        <f>'расс сад'!H23+'суриков сад'!H23+'об сад нов'!H23</f>
        <v>168.55</v>
      </c>
      <c r="I23" s="119">
        <f>'расс сад'!I23+'суриков сад'!I23+'об сад нов'!I23</f>
        <v>12742.380000000001</v>
      </c>
      <c r="J23" s="119">
        <f>'расс сад'!J23+'суриков сад'!J23+'об сад нов'!J23</f>
        <v>33979.68</v>
      </c>
      <c r="K23" s="119">
        <f>'расс сад'!K23+'суриков сад'!K23+'об сад нов'!K23</f>
        <v>365686.08</v>
      </c>
      <c r="L23" s="259">
        <f t="shared" si="0"/>
        <v>407756.16000000003</v>
      </c>
    </row>
    <row r="24" spans="1:17" ht="28.5" customHeight="1">
      <c r="A24" s="1281"/>
      <c r="B24" s="208" t="s">
        <v>169</v>
      </c>
      <c r="C24" s="209"/>
      <c r="D24" s="119">
        <f>'расс сад'!D24+'суриков сад'!D24+'об сад нов'!D24</f>
        <v>1</v>
      </c>
      <c r="E24" s="119">
        <f>'расс сад'!E24+'суриков сад'!E24+'об сад нов'!E24</f>
        <v>3813</v>
      </c>
      <c r="F24" s="119">
        <f>'расс сад'!F24+'суриков сад'!F24+'об сад нов'!F24</f>
        <v>3813</v>
      </c>
      <c r="G24" s="119">
        <f>'расс сад'!G24+'суриков сад'!G24+'об сад нов'!G24</f>
        <v>953.25</v>
      </c>
      <c r="H24" s="119">
        <f>'расс сад'!H24+'суриков сад'!H24+'об сад нов'!H24</f>
        <v>190.65</v>
      </c>
      <c r="I24" s="119">
        <f>'расс сад'!I24+'суриков сад'!I24+'об сад нов'!I24</f>
        <v>2974.14</v>
      </c>
      <c r="J24" s="119">
        <f>'расс сад'!J24+'суриков сад'!J24+'об сад нов'!J24</f>
        <v>7931.0399999999991</v>
      </c>
      <c r="K24" s="119">
        <f>'расс сад'!K24+'суриков сад'!K24+'об сад нов'!K24</f>
        <v>95172.479999999981</v>
      </c>
      <c r="L24" s="259">
        <f t="shared" si="0"/>
        <v>95172.479999999981</v>
      </c>
    </row>
    <row r="25" spans="1:17" ht="23.25" customHeight="1">
      <c r="A25" s="1281"/>
      <c r="B25" s="208" t="s">
        <v>143</v>
      </c>
      <c r="C25" s="209"/>
      <c r="D25" s="119">
        <f>'расс сад'!D25+'суриков сад'!D25+'об сад нов'!D25</f>
        <v>25.25</v>
      </c>
      <c r="E25" s="119">
        <f>'расс сад'!E25+'суриков сад'!E25+'об сад нов'!E25</f>
        <v>12574</v>
      </c>
      <c r="F25" s="119">
        <f>'расс сад'!F25+'суриков сад'!F25+'об сад нов'!F25</f>
        <v>107934</v>
      </c>
      <c r="G25" s="119">
        <f>'расс сад'!G25+'суриков сад'!G25+'об сад нов'!G25</f>
        <v>1070.28</v>
      </c>
      <c r="H25" s="119">
        <f>'расс сад'!H25+'суриков сад'!H25+'об сад нов'!H25</f>
        <v>17529.55</v>
      </c>
      <c r="I25" s="119">
        <f>'расс сад'!I25+'суриков сад'!I25+'об сад нов'!I25</f>
        <v>75920.297999999995</v>
      </c>
      <c r="J25" s="119">
        <f>'расс сад'!J25+'суриков сад'!J25+'об сад нов'!J25</f>
        <v>202454.12800000003</v>
      </c>
      <c r="K25" s="119">
        <f>'расс сад'!K25+'суриков сад'!K25+'об сад нов'!K25</f>
        <v>1968642.3360000001</v>
      </c>
      <c r="L25" s="259">
        <f t="shared" si="0"/>
        <v>2429449.5360000003</v>
      </c>
    </row>
    <row r="26" spans="1:17" ht="23.25" customHeight="1">
      <c r="A26" s="1281"/>
      <c r="B26" s="274" t="s">
        <v>170</v>
      </c>
      <c r="C26" s="275"/>
      <c r="D26" s="119">
        <f>'расс сад'!D26+'суриков сад'!D26+'об сад нов'!D26</f>
        <v>1</v>
      </c>
      <c r="E26" s="119">
        <f>'расс сад'!E26+'суриков сад'!E26+'об сад нов'!E26</f>
        <v>4650</v>
      </c>
      <c r="F26" s="119">
        <f>'расс сад'!F26+'суриков сад'!F26+'об сад нов'!F26</f>
        <v>4650</v>
      </c>
      <c r="G26" s="119">
        <f>'расс сад'!G26+'суриков сад'!G26+'об сад нов'!G26</f>
        <v>1162.5</v>
      </c>
      <c r="H26" s="119">
        <f>'расс сад'!H26+'суриков сад'!H26+'об сад нов'!H26</f>
        <v>232.5</v>
      </c>
      <c r="I26" s="119">
        <f>'расс сад'!I26+'суриков сад'!I26+'об сад нов'!I26</f>
        <v>3627</v>
      </c>
      <c r="J26" s="119">
        <f>'расс сад'!J26+'суриков сад'!J26+'об сад нов'!J26</f>
        <v>9672</v>
      </c>
      <c r="K26" s="119">
        <f>'расс сад'!K26+'суриков сад'!K26+'об сад нов'!K26</f>
        <v>116064</v>
      </c>
      <c r="L26" s="259">
        <f t="shared" si="0"/>
        <v>116064</v>
      </c>
    </row>
    <row r="27" spans="1:17" ht="23.25" customHeight="1">
      <c r="A27" s="1281"/>
      <c r="B27" s="274" t="s">
        <v>111</v>
      </c>
      <c r="C27" s="275"/>
      <c r="D27" s="119" t="e">
        <f>'расс сад'!D27+'суриков сад'!D27+'об сад нов'!D27</f>
        <v>#REF!</v>
      </c>
      <c r="E27" s="119" t="e">
        <f>'расс сад'!E27+'суриков сад'!E27+'об сад нов'!E27</f>
        <v>#REF!</v>
      </c>
      <c r="F27" s="119" t="e">
        <f>'расс сад'!F27+'суриков сад'!F27+'об сад нов'!F27</f>
        <v>#REF!</v>
      </c>
      <c r="G27" s="119" t="e">
        <f>'расс сад'!G27+'суриков сад'!G27+'об сад нов'!G27</f>
        <v>#REF!</v>
      </c>
      <c r="H27" s="119" t="e">
        <f>'расс сад'!H27+'суриков сад'!H27+'об сад нов'!H27</f>
        <v>#REF!</v>
      </c>
      <c r="I27" s="119">
        <f>'расс сад'!I27+'суриков сад'!I27+'об сад нов'!I27</f>
        <v>6699</v>
      </c>
      <c r="J27" s="119" t="e">
        <f>'расс сад'!J27+'суриков сад'!J27+'об сад нов'!J27</f>
        <v>#REF!</v>
      </c>
      <c r="K27" s="119">
        <f>'расс сад'!K27+'суриков сад'!K27+'об сад нов'!K27</f>
        <v>158568</v>
      </c>
      <c r="L27" s="259" t="e">
        <f t="shared" si="0"/>
        <v>#REF!</v>
      </c>
    </row>
    <row r="28" spans="1:17" ht="27" customHeight="1" thickBot="1">
      <c r="A28" s="1281"/>
      <c r="B28" s="208" t="s">
        <v>74</v>
      </c>
      <c r="C28" s="209"/>
      <c r="D28" s="119" t="e">
        <f>'расс сад'!D28+'суриков сад'!D28+'об сад нов'!D28</f>
        <v>#REF!</v>
      </c>
      <c r="E28" s="119" t="e">
        <f>'расс сад'!E28+'суриков сад'!E28+'об сад нов'!E28</f>
        <v>#REF!</v>
      </c>
      <c r="F28" s="119" t="e">
        <f>'расс сад'!F28+'суриков сад'!F28+'об сад нов'!F28</f>
        <v>#REF!</v>
      </c>
      <c r="G28" s="119" t="e">
        <f>'расс сад'!G28+'суриков сад'!G28+'об сад нов'!G28</f>
        <v>#REF!</v>
      </c>
      <c r="H28" s="119" t="e">
        <f>'расс сад'!H28+'суриков сад'!H28+'об сад нов'!H28</f>
        <v>#REF!</v>
      </c>
      <c r="I28" s="119" t="e">
        <f>'расс сад'!I28+'суриков сад'!I28+'об сад нов'!I28</f>
        <v>#REF!</v>
      </c>
      <c r="J28" s="119" t="e">
        <f>'расс сад'!J28+'суриков сад'!J28+'об сад нов'!J28</f>
        <v>#REF!</v>
      </c>
      <c r="K28" s="119" t="e">
        <f>'расс сад'!K28+'суриков сад'!K28+'об сад нов'!K28</f>
        <v>#REF!</v>
      </c>
      <c r="L28" s="259" t="e">
        <f t="shared" si="0"/>
        <v>#REF!</v>
      </c>
    </row>
    <row r="29" spans="1:17" ht="12.75" thickBot="1">
      <c r="A29" s="1281"/>
      <c r="B29" s="214"/>
      <c r="C29" s="215"/>
      <c r="D29" s="216" t="e">
        <f>SUM(D19:D28)</f>
        <v>#REF!</v>
      </c>
      <c r="E29" s="216" t="e">
        <f t="shared" ref="E29:K29" si="1">SUM(E19:E28)</f>
        <v>#REF!</v>
      </c>
      <c r="F29" s="216" t="e">
        <f t="shared" si="1"/>
        <v>#REF!</v>
      </c>
      <c r="G29" s="216" t="e">
        <f t="shared" si="1"/>
        <v>#REF!</v>
      </c>
      <c r="H29" s="216" t="e">
        <f t="shared" si="1"/>
        <v>#REF!</v>
      </c>
      <c r="I29" s="216" t="e">
        <f t="shared" si="1"/>
        <v>#REF!</v>
      </c>
      <c r="J29" s="216" t="e">
        <f t="shared" si="1"/>
        <v>#REF!</v>
      </c>
      <c r="K29" s="216" t="e">
        <f t="shared" si="1"/>
        <v>#REF!</v>
      </c>
      <c r="L29" s="259" t="e">
        <f t="shared" si="0"/>
        <v>#REF!</v>
      </c>
      <c r="M29" s="258">
        <f>'расс сад'!K29+'суриков сад'!K29+'об сад нов'!K29</f>
        <v>4870002.8159999996</v>
      </c>
    </row>
    <row r="30" spans="1:17" ht="28.5" customHeight="1">
      <c r="A30" s="1281"/>
      <c r="B30" s="274" t="s">
        <v>171</v>
      </c>
      <c r="C30" s="279"/>
      <c r="D30" s="230"/>
      <c r="E30" s="230"/>
      <c r="F30" s="230"/>
      <c r="G30" s="230"/>
      <c r="H30" s="230"/>
      <c r="I30" s="230"/>
      <c r="J30" s="230">
        <f>'нов сад'!J30+'расс сад'!J30+'суриков сад'!J30</f>
        <v>81869.611199999985</v>
      </c>
      <c r="K30" s="119">
        <f>'расс сад'!K30+'суриков сад'!K30+'об сад нов'!K30</f>
        <v>903824.22239999985</v>
      </c>
      <c r="L30" s="259">
        <f t="shared" si="0"/>
        <v>982435.33439999982</v>
      </c>
    </row>
    <row r="31" spans="1:17" ht="48">
      <c r="A31" s="1281"/>
      <c r="B31" s="305" t="s">
        <v>78</v>
      </c>
      <c r="C31" s="275"/>
      <c r="D31" s="230"/>
      <c r="E31" s="230"/>
      <c r="F31" s="230"/>
      <c r="G31" s="230"/>
      <c r="H31" s="230"/>
      <c r="I31" s="230"/>
      <c r="J31" s="119">
        <f>'расс сад'!J32+'суриков сад'!J31+'об сад нов'!J31</f>
        <v>439607.39</v>
      </c>
      <c r="K31" s="119">
        <f>'расс сад'!K32+'суриков сад'!K31+'об сад нов'!K31</f>
        <v>4185533.88</v>
      </c>
      <c r="L31" s="259">
        <f t="shared" si="0"/>
        <v>5275288.68</v>
      </c>
    </row>
    <row r="32" spans="1:17" ht="24.75" thickBot="1">
      <c r="A32" s="1281"/>
      <c r="B32" s="208" t="s">
        <v>172</v>
      </c>
      <c r="C32" s="209"/>
      <c r="D32" s="230"/>
      <c r="E32" s="230"/>
      <c r="F32" s="230"/>
      <c r="G32" s="230"/>
      <c r="H32" s="230"/>
      <c r="I32" s="230"/>
      <c r="J32" s="119">
        <f>'расс сад'!J33+'суриков сад'!J32+'об сад нов'!J32</f>
        <v>53719.519999999997</v>
      </c>
      <c r="K32" s="119">
        <f>'расс сад'!K33+'суриков сад'!K32+'об сад нов'!K32</f>
        <v>383721.12</v>
      </c>
      <c r="L32" s="259">
        <f t="shared" si="0"/>
        <v>644634.24</v>
      </c>
    </row>
    <row r="33" spans="1:26" ht="24.75" thickBot="1">
      <c r="A33" s="1281"/>
      <c r="B33" s="224" t="s">
        <v>145</v>
      </c>
      <c r="C33" s="215"/>
      <c r="D33" s="222" t="e">
        <f>D29+D30+D31+D32</f>
        <v>#REF!</v>
      </c>
      <c r="E33" s="222" t="e">
        <f t="shared" ref="E33:K33" si="2">E29+E30+E31+E32</f>
        <v>#REF!</v>
      </c>
      <c r="F33" s="222" t="e">
        <f t="shared" si="2"/>
        <v>#REF!</v>
      </c>
      <c r="G33" s="222" t="e">
        <f t="shared" si="2"/>
        <v>#REF!</v>
      </c>
      <c r="H33" s="222" t="e">
        <f t="shared" si="2"/>
        <v>#REF!</v>
      </c>
      <c r="I33" s="222" t="e">
        <f t="shared" si="2"/>
        <v>#REF!</v>
      </c>
      <c r="J33" s="222" t="e">
        <f t="shared" si="2"/>
        <v>#REF!</v>
      </c>
      <c r="K33" s="222" t="e">
        <f t="shared" si="2"/>
        <v>#REF!</v>
      </c>
      <c r="L33" s="259" t="e">
        <f t="shared" si="0"/>
        <v>#REF!</v>
      </c>
      <c r="M33" s="258">
        <f>'расс сад'!K34+'суриков сад'!K33+'об сад нов'!K33</f>
        <v>10343082.0384</v>
      </c>
      <c r="N33" s="258" t="e">
        <f>K33-M33</f>
        <v>#REF!</v>
      </c>
      <c r="Q33" s="258" t="e">
        <f>D33-D25</f>
        <v>#REF!</v>
      </c>
    </row>
    <row r="34" spans="1:26">
      <c r="A34" s="1282" t="s">
        <v>32</v>
      </c>
      <c r="B34" s="1277" t="s">
        <v>144</v>
      </c>
      <c r="C34" s="1278"/>
      <c r="D34" s="1278"/>
      <c r="E34" s="1278"/>
      <c r="F34" s="1278"/>
      <c r="G34" s="1278"/>
      <c r="H34" s="1278"/>
      <c r="I34" s="1278"/>
      <c r="J34" s="1278"/>
      <c r="K34" s="1278"/>
      <c r="L34" s="259">
        <f t="shared" si="0"/>
        <v>0</v>
      </c>
      <c r="X34" s="2"/>
    </row>
    <row r="35" spans="1:26" ht="36.75" customHeight="1">
      <c r="A35" s="1420"/>
      <c r="B35" s="274" t="s">
        <v>146</v>
      </c>
      <c r="C35" s="275" t="s">
        <v>36</v>
      </c>
      <c r="D35" s="119">
        <f>'расс сад'!D36+'суриков сад'!D35+'об сад нов'!D35</f>
        <v>7.1</v>
      </c>
      <c r="E35" s="119">
        <f>'расс сад'!E36+'суриков сад'!E35+'об сад нов'!E35</f>
        <v>23857</v>
      </c>
      <c r="F35" s="119">
        <f>'расс сад'!F36+'суриков сад'!F35+'об сад нов'!F35</f>
        <v>66963.47</v>
      </c>
      <c r="G35" s="119">
        <f>'расс сад'!G36+'суриков сад'!G35+'об сад нов'!G35</f>
        <v>14538.55</v>
      </c>
      <c r="H35" s="119">
        <f>'расс сад'!H36+'суриков сад'!H35+'об сад нов'!H35</f>
        <v>14634.07</v>
      </c>
      <c r="I35" s="119">
        <f>'расс сад'!I36+'суриков сад'!I35+'об сад нов'!I35</f>
        <v>57681.653999999995</v>
      </c>
      <c r="J35" s="119">
        <f>'расс сад'!J36+'суриков сад'!J35+'об сад нов'!J35</f>
        <v>153817.74400000001</v>
      </c>
      <c r="K35" s="119">
        <f>'расс сад'!K36+'суриков сад'!K35+'об сад нов'!K35</f>
        <v>1448741.568</v>
      </c>
      <c r="L35" s="259">
        <f t="shared" si="0"/>
        <v>1845812.9280000001</v>
      </c>
      <c r="X35" s="2"/>
    </row>
    <row r="36" spans="1:26">
      <c r="A36" s="1420"/>
      <c r="B36" s="274" t="s">
        <v>146</v>
      </c>
      <c r="C36" s="275"/>
      <c r="D36" s="119">
        <f>'расс сад'!D37+'суриков сад'!D36+'об сад нов'!D36</f>
        <v>25.9</v>
      </c>
      <c r="E36" s="119">
        <f>'расс сад'!E37+'суриков сад'!E36+'об сад нов'!E36</f>
        <v>20945</v>
      </c>
      <c r="F36" s="119">
        <f>'расс сад'!F37+'суриков сад'!F36+'об сад нов'!F36</f>
        <v>211274.7</v>
      </c>
      <c r="G36" s="119">
        <f>'расс сад'!G37+'суриков сад'!G36+'об сад нов'!G36</f>
        <v>46162.44</v>
      </c>
      <c r="H36" s="119">
        <f>'расс сад'!H37+'суриков сад'!H36+'об сад нов'!H36</f>
        <v>49384.99</v>
      </c>
      <c r="I36" s="119">
        <f>'расс сад'!I37+'суриков сад'!I36+'об сад нов'!I36</f>
        <v>184093.27799999999</v>
      </c>
      <c r="J36" s="119">
        <f>'расс сад'!J37+'суриков сад'!J36+'об сад нов'!J36</f>
        <v>490915.40799999994</v>
      </c>
      <c r="K36" s="119">
        <f>'расс сад'!K37+'суриков сад'!K36+'об сад нов'!K36</f>
        <v>4921933.2479999997</v>
      </c>
      <c r="L36" s="259">
        <f t="shared" si="0"/>
        <v>5890984.8959999997</v>
      </c>
      <c r="X36" s="2"/>
    </row>
    <row r="37" spans="1:26" ht="27" customHeight="1">
      <c r="A37" s="1420"/>
      <c r="B37" s="274" t="s">
        <v>147</v>
      </c>
      <c r="C37" s="275" t="s">
        <v>34</v>
      </c>
      <c r="D37" s="119">
        <f>'расс сад'!D38+'суриков сад'!D37+'об сад нов'!D37</f>
        <v>4.75</v>
      </c>
      <c r="E37" s="119">
        <f>'расс сад'!E38+'суриков сад'!E37+'об сад нов'!E37</f>
        <v>12510</v>
      </c>
      <c r="F37" s="119">
        <f>'расс сад'!F38+'суриков сад'!F37+'об сад нов'!F37</f>
        <v>32291.439999999999</v>
      </c>
      <c r="G37" s="119">
        <f>'расс сад'!G38+'суриков сад'!G37+'об сад нов'!G37</f>
        <v>7036.8899999999994</v>
      </c>
      <c r="H37" s="119">
        <f>'расс сад'!H38+'суриков сад'!H37+'об сад нов'!H37</f>
        <v>6333.1999999999989</v>
      </c>
      <c r="I37" s="119">
        <f>'расс сад'!I38+'суриков сад'!I37+'об сад нов'!I37</f>
        <v>27396.917999999994</v>
      </c>
      <c r="J37" s="119">
        <f>'расс сад'!J38+'суриков сад'!J37+'об сад нов'!J37</f>
        <v>73058.447999999989</v>
      </c>
      <c r="K37" s="119">
        <f>'расс сад'!K38+'суриков сад'!K37+'об сад нов'!K37</f>
        <v>721327.00799999991</v>
      </c>
      <c r="L37" s="259">
        <f t="shared" si="0"/>
        <v>876701.37599999993</v>
      </c>
      <c r="X37" s="2"/>
    </row>
    <row r="38" spans="1:26" ht="23.25" customHeight="1">
      <c r="A38" s="1420"/>
      <c r="B38" s="274" t="s">
        <v>147</v>
      </c>
      <c r="C38" s="275" t="s">
        <v>34</v>
      </c>
      <c r="D38" s="119">
        <f>'расс сад'!D39+'суриков сад'!D38+'об сад нов'!D38</f>
        <v>0.5</v>
      </c>
      <c r="E38" s="119">
        <f>'расс сад'!E39+'суриков сад'!E38+'об сад нов'!E38</f>
        <v>6556</v>
      </c>
      <c r="F38" s="119">
        <f>'расс сад'!F39+'суриков сад'!F38+'об сад нов'!F38</f>
        <v>5408.7</v>
      </c>
      <c r="G38" s="119">
        <f>'расс сад'!G39+'суриков сад'!G38+'об сад нов'!G38</f>
        <v>819.5</v>
      </c>
      <c r="H38" s="119">
        <f>'расс сад'!H39+'суриков сад'!H38+'об сад нов'!H38</f>
        <v>819.5</v>
      </c>
      <c r="I38" s="119">
        <f>'расс сад'!I39+'суриков сад'!I38+'об сад нов'!I38</f>
        <v>4228.62</v>
      </c>
      <c r="J38" s="119">
        <f>'расс сад'!J39+'суриков сад'!J38+'об сад нов'!J38</f>
        <v>11276.32</v>
      </c>
      <c r="K38" s="119">
        <f>'расс сад'!K39+'суриков сад'!K38+'об сад нов'!K38</f>
        <v>135315.84</v>
      </c>
      <c r="L38" s="259">
        <f t="shared" si="0"/>
        <v>135315.84</v>
      </c>
      <c r="X38" s="2"/>
    </row>
    <row r="39" spans="1:26" ht="27.75" customHeight="1">
      <c r="A39" s="1425"/>
      <c r="B39" s="274" t="s">
        <v>44</v>
      </c>
      <c r="C39" s="275" t="s">
        <v>42</v>
      </c>
      <c r="D39" s="119">
        <f>'расс сад'!D40+'суриков сад'!D39+'об сад нов'!D39</f>
        <v>2.875</v>
      </c>
      <c r="E39" s="119">
        <f>'расс сад'!E40+'суриков сад'!E39+'об сад нов'!E39</f>
        <v>18270</v>
      </c>
      <c r="F39" s="119">
        <f>'расс сад'!F40+'суриков сад'!F39+'об сад нов'!F39</f>
        <v>19986.759999999998</v>
      </c>
      <c r="G39" s="119">
        <f>'расс сад'!G40+'суриков сад'!G39+'об сад нов'!G39</f>
        <v>4464.8500000000004</v>
      </c>
      <c r="H39" s="119">
        <f>'расс сад'!H40+'суриков сад'!H39+'об сад нов'!H39</f>
        <v>3331.13</v>
      </c>
      <c r="I39" s="119">
        <f>'расс сад'!I40+'суриков сад'!I39+'об сад нов'!I39</f>
        <v>16669.644</v>
      </c>
      <c r="J39" s="119">
        <f>'расс сад'!J40+'суриков сад'!J39+'об сад нов'!J39</f>
        <v>44452.383999999991</v>
      </c>
      <c r="K39" s="119">
        <f>'расс сад'!K40+'суриков сад'!K39+'об сад нов'!K39</f>
        <v>433974.04799999995</v>
      </c>
      <c r="L39" s="259">
        <f t="shared" si="0"/>
        <v>533428.60799999989</v>
      </c>
    </row>
    <row r="40" spans="1:26" ht="24.75" customHeight="1">
      <c r="A40" s="1426"/>
      <c r="B40" s="274" t="s">
        <v>175</v>
      </c>
      <c r="C40" s="275" t="s">
        <v>29</v>
      </c>
      <c r="D40" s="119">
        <f>'расс сад'!D41+'суриков сад'!D40+'об сад нов'!D40</f>
        <v>2</v>
      </c>
      <c r="E40" s="119">
        <f>'расс сад'!E41+'суриков сад'!E40+'об сад нов'!E40</f>
        <v>16336</v>
      </c>
      <c r="F40" s="119">
        <f>'расс сад'!F41+'суриков сад'!F40+'об сад нов'!F40</f>
        <v>16336</v>
      </c>
      <c r="G40" s="119">
        <f>'расс сад'!G41+'суриков сад'!G40+'об сад нов'!G40</f>
        <v>4084</v>
      </c>
      <c r="H40" s="119">
        <f>'расс сад'!H41+'суриков сад'!H40+'об сад нов'!H40</f>
        <v>3267.2</v>
      </c>
      <c r="I40" s="119">
        <f>'расс сад'!I41+'суриков сад'!I40+'об сад нов'!I40</f>
        <v>14212.32</v>
      </c>
      <c r="J40" s="119">
        <f>'расс сад'!J41+'суриков сад'!J40+'об сад нов'!J40</f>
        <v>37899.520000000004</v>
      </c>
      <c r="K40" s="119">
        <f>'расс сад'!K41+'суриков сад'!K40+'об сад нов'!K40</f>
        <v>337175.04000000004</v>
      </c>
      <c r="L40" s="259">
        <f t="shared" si="0"/>
        <v>454794.24000000005</v>
      </c>
    </row>
    <row r="41" spans="1:26" ht="33.75" customHeight="1">
      <c r="A41" s="1426"/>
      <c r="B41" s="274" t="s">
        <v>176</v>
      </c>
      <c r="C41" s="275" t="s">
        <v>29</v>
      </c>
      <c r="D41" s="119">
        <f>'расс сад'!D42+'суриков сад'!D41+'об сад нов'!D41</f>
        <v>2</v>
      </c>
      <c r="E41" s="119">
        <f>'расс сад'!E42+'суриков сад'!E41+'об сад нов'!E41</f>
        <v>17884</v>
      </c>
      <c r="F41" s="119">
        <f>'расс сад'!F42+'суриков сад'!F41+'об сад нов'!F41</f>
        <v>20119.5</v>
      </c>
      <c r="G41" s="119">
        <f>'расс сад'!G42+'суриков сад'!G41+'об сад нов'!G41</f>
        <v>4471</v>
      </c>
      <c r="H41" s="119">
        <f>'расс сад'!H42+'суриков сад'!H41+'об сад нов'!H41</f>
        <v>3576.8</v>
      </c>
      <c r="I41" s="119">
        <f>'расс сад'!I42+'суриков сад'!I41+'об сад нов'!I41</f>
        <v>16900.379999999997</v>
      </c>
      <c r="J41" s="119">
        <f>'расс сад'!J42+'суриков сад'!J41+'об сад нов'!J41</f>
        <v>45067.679999999993</v>
      </c>
      <c r="K41" s="119">
        <f>'расс сад'!K42+'суриков сад'!K41+'об сад нов'!K41</f>
        <v>390586.55999999994</v>
      </c>
      <c r="L41" s="259">
        <f t="shared" si="0"/>
        <v>540812.15999999992</v>
      </c>
    </row>
    <row r="42" spans="1:26" ht="29.25" customHeight="1">
      <c r="A42" s="1426"/>
      <c r="B42" s="274" t="s">
        <v>40</v>
      </c>
      <c r="C42" s="275" t="s">
        <v>34</v>
      </c>
      <c r="D42" s="119">
        <f>'расс сад'!D43+'суриков сад'!D42+'об сад нов'!D42</f>
        <v>2</v>
      </c>
      <c r="E42" s="119">
        <f>'расс сад'!E43+'суриков сад'!E42+'об сад нов'!E42</f>
        <v>17884</v>
      </c>
      <c r="F42" s="119">
        <f>'расс сад'!F43+'суриков сад'!F42+'об сад нов'!F42</f>
        <v>19225.3</v>
      </c>
      <c r="G42" s="119">
        <f>'расс сад'!G43+'суриков сад'!G42+'об сад нов'!G42</f>
        <v>8047.8</v>
      </c>
      <c r="H42" s="119">
        <f>'расс сад'!H43+'суриков сад'!H42+'об сад нов'!H42</f>
        <v>3576.8</v>
      </c>
      <c r="I42" s="119">
        <f>'расс сад'!I43+'суриков сад'!I42+'об сад нов'!I42</f>
        <v>18509.939999999999</v>
      </c>
      <c r="J42" s="119">
        <f>'расс сад'!J43+'суриков сад'!J42+'об сад нов'!J42</f>
        <v>49359.839999999997</v>
      </c>
      <c r="K42" s="119">
        <f>'расс сад'!K43+'суриков сад'!K42+'об сад нов'!K42</f>
        <v>446384.63999999996</v>
      </c>
      <c r="L42" s="259">
        <f t="shared" si="0"/>
        <v>592318.07999999996</v>
      </c>
    </row>
    <row r="43" spans="1:26" ht="23.25" customHeight="1">
      <c r="A43" s="1426"/>
      <c r="B43" s="274" t="s">
        <v>178</v>
      </c>
      <c r="C43" s="275" t="s">
        <v>36</v>
      </c>
      <c r="D43" s="119">
        <f>'расс сад'!D44+'суриков сад'!D43+'об сад нов'!D43</f>
        <v>1.25</v>
      </c>
      <c r="E43" s="119">
        <f>'расс сад'!E44+'суриков сад'!E43+'об сад нов'!E43</f>
        <v>17884</v>
      </c>
      <c r="F43" s="119">
        <f>'расс сад'!F44+'суриков сад'!F43+'об сад нов'!F43</f>
        <v>12518.8</v>
      </c>
      <c r="G43" s="119">
        <f>'расс сад'!G44+'суриков сад'!G43+'об сад нов'!G43</f>
        <v>2794.38</v>
      </c>
      <c r="H43" s="119">
        <f>'расс сад'!H44+'суриков сад'!H43+'об сад нов'!H43</f>
        <v>1005.98</v>
      </c>
      <c r="I43" s="119">
        <f>'расс сад'!I44+'суриков сад'!I43+'об сад нов'!I43</f>
        <v>9791.4959999999992</v>
      </c>
      <c r="J43" s="119">
        <f>'расс сад'!J44+'суриков сад'!J43+'об сад нов'!J43</f>
        <v>26110.655999999999</v>
      </c>
      <c r="K43" s="119">
        <f>'расс сад'!K44+'суриков сад'!K43+'об сад нов'!K43</f>
        <v>281136.576</v>
      </c>
      <c r="L43" s="259">
        <f t="shared" si="0"/>
        <v>313327.87199999997</v>
      </c>
    </row>
    <row r="44" spans="1:26" ht="33" customHeight="1" thickBot="1">
      <c r="A44" s="1427"/>
      <c r="B44" s="274" t="s">
        <v>177</v>
      </c>
      <c r="C44" s="275" t="s">
        <v>42</v>
      </c>
      <c r="D44" s="119">
        <f>'расс сад'!D45+'суриков сад'!D44+'об сад нов'!D44</f>
        <v>0</v>
      </c>
      <c r="E44" s="119">
        <f>'расс сад'!E45+'суриков сад'!E44+'об сад нов'!E44</f>
        <v>0</v>
      </c>
      <c r="F44" s="119">
        <f>'расс сад'!F45+'суриков сад'!F44+'об сад нов'!F44</f>
        <v>0</v>
      </c>
      <c r="G44" s="119">
        <f>'расс сад'!G45+'суриков сад'!G44+'об сад нов'!G44</f>
        <v>0</v>
      </c>
      <c r="H44" s="119">
        <f>'расс сад'!H45+'суриков сад'!H44+'об сад нов'!H44</f>
        <v>0</v>
      </c>
      <c r="I44" s="119">
        <f>'расс сад'!I45+'суриков сад'!I44+'об сад нов'!I44</f>
        <v>0</v>
      </c>
      <c r="J44" s="119">
        <f>'расс сад'!J45+'суриков сад'!J44+'об сад нов'!J44</f>
        <v>0</v>
      </c>
      <c r="K44" s="119">
        <f>'расс сад'!K45+'суриков сад'!K44+'об сад нов'!K44</f>
        <v>0</v>
      </c>
      <c r="L44" s="259">
        <f t="shared" si="0"/>
        <v>0</v>
      </c>
    </row>
    <row r="45" spans="1:26" ht="12.75" thickBot="1">
      <c r="A45" s="241"/>
      <c r="B45" s="214"/>
      <c r="C45" s="243"/>
      <c r="D45" s="268">
        <f t="shared" ref="D45:K45" si="3">SUM(D35:D44)</f>
        <v>48.375</v>
      </c>
      <c r="E45" s="268">
        <f t="shared" si="3"/>
        <v>152126</v>
      </c>
      <c r="F45" s="268">
        <f t="shared" si="3"/>
        <v>404124.67000000004</v>
      </c>
      <c r="G45" s="268">
        <f t="shared" si="3"/>
        <v>92419.410000000018</v>
      </c>
      <c r="H45" s="268">
        <f t="shared" si="3"/>
        <v>85929.67</v>
      </c>
      <c r="I45" s="268">
        <f t="shared" si="3"/>
        <v>349484.24999999994</v>
      </c>
      <c r="J45" s="268">
        <f t="shared" si="3"/>
        <v>931957.99999999988</v>
      </c>
      <c r="K45" s="244">
        <f t="shared" si="3"/>
        <v>9116574.527999999</v>
      </c>
      <c r="L45" s="259">
        <f t="shared" si="0"/>
        <v>11183495.999999998</v>
      </c>
      <c r="Z45" s="259"/>
    </row>
    <row r="46" spans="1:26" ht="24">
      <c r="A46" s="260"/>
      <c r="B46" s="278" t="s">
        <v>172</v>
      </c>
      <c r="C46" s="277"/>
      <c r="D46" s="230"/>
      <c r="E46" s="230"/>
      <c r="F46" s="230"/>
      <c r="G46" s="230"/>
      <c r="H46" s="230"/>
      <c r="I46" s="230"/>
      <c r="J46" s="119">
        <f>'расс сад'!J47+'суриков сад'!J46+'об сад нов'!J46</f>
        <v>128173.66</v>
      </c>
      <c r="K46" s="119">
        <f>'расс сад'!K47+'суриков сад'!K46+'об сад нов'!K46</f>
        <v>1276593.78</v>
      </c>
      <c r="L46" s="259">
        <f t="shared" si="0"/>
        <v>1538083.92</v>
      </c>
    </row>
    <row r="47" spans="1:26" ht="16.5" customHeight="1" thickBot="1">
      <c r="A47" s="247"/>
      <c r="B47" s="208" t="s">
        <v>171</v>
      </c>
      <c r="C47" s="245"/>
      <c r="D47" s="230"/>
      <c r="E47" s="230"/>
      <c r="F47" s="230"/>
      <c r="G47" s="230"/>
      <c r="H47" s="230"/>
      <c r="I47" s="230"/>
      <c r="J47" s="119">
        <f>'расс сад'!J48+'суриков сад'!J47+'об сад нов'!J47</f>
        <v>820610.34</v>
      </c>
      <c r="K47" s="119">
        <f>'расс сад'!K48+'суриков сад'!K47+'об сад нов'!K47</f>
        <v>8390569.75</v>
      </c>
      <c r="L47" s="259">
        <f t="shared" si="0"/>
        <v>9847324.0800000001</v>
      </c>
      <c r="O47" s="259"/>
      <c r="Y47" s="259"/>
    </row>
    <row r="48" spans="1:26" ht="36.75" thickBot="1">
      <c r="A48" s="304"/>
      <c r="B48" s="273" t="s">
        <v>148</v>
      </c>
      <c r="C48" s="243"/>
      <c r="D48" s="360">
        <f t="shared" ref="D48:I48" si="4">D45+D46+D47</f>
        <v>48.375</v>
      </c>
      <c r="E48" s="246">
        <f t="shared" si="4"/>
        <v>152126</v>
      </c>
      <c r="F48" s="246">
        <f t="shared" si="4"/>
        <v>404124.67000000004</v>
      </c>
      <c r="G48" s="246">
        <f t="shared" si="4"/>
        <v>92419.410000000018</v>
      </c>
      <c r="H48" s="246">
        <f t="shared" si="4"/>
        <v>85929.67</v>
      </c>
      <c r="I48" s="246">
        <f t="shared" si="4"/>
        <v>349484.24999999994</v>
      </c>
      <c r="J48" s="246">
        <f>J45+J46+J47</f>
        <v>1880742</v>
      </c>
      <c r="K48" s="300">
        <f>K45+K46+K47</f>
        <v>18783738.057999998</v>
      </c>
      <c r="L48" s="259">
        <f t="shared" si="0"/>
        <v>22568904</v>
      </c>
      <c r="M48" s="258">
        <f>'расс сад'!K49+'суриков сад'!K48+'об сад нов'!K48</f>
        <v>18783738.057999998</v>
      </c>
    </row>
    <row r="49" spans="1:33">
      <c r="A49" s="1423" t="s">
        <v>81</v>
      </c>
      <c r="B49" s="278"/>
      <c r="C49" s="1271" t="s">
        <v>80</v>
      </c>
      <c r="D49" s="1272"/>
      <c r="E49" s="1272"/>
      <c r="F49" s="1272"/>
      <c r="G49" s="1272"/>
      <c r="H49" s="1272"/>
      <c r="I49" s="1272"/>
      <c r="J49" s="1272"/>
      <c r="K49" s="1272"/>
      <c r="L49" s="259">
        <f t="shared" si="0"/>
        <v>0</v>
      </c>
      <c r="M49" s="2"/>
      <c r="N49" s="2"/>
    </row>
    <row r="50" spans="1:33" ht="23.25" customHeight="1">
      <c r="A50" s="1273"/>
      <c r="B50" s="274" t="s">
        <v>95</v>
      </c>
      <c r="C50" s="1274" t="s">
        <v>83</v>
      </c>
      <c r="D50" s="119">
        <f>'расс сад'!D51+'суриков сад'!D50+'об сад нов'!D50</f>
        <v>1</v>
      </c>
      <c r="E50" s="119">
        <f>'расс сад'!E51+'суриков сад'!E50+'об сад нов'!E50</f>
        <v>5109</v>
      </c>
      <c r="F50" s="119">
        <f>'расс сад'!F51+'суриков сад'!F50+'об сад нов'!F50</f>
        <v>5109</v>
      </c>
      <c r="G50" s="119">
        <f>'расс сад'!G51+'суриков сад'!G50+'об сад нов'!G50</f>
        <v>1634.88</v>
      </c>
      <c r="H50" s="119">
        <f>'расс сад'!H51+'суриков сад'!H50+'об сад нов'!H50</f>
        <v>1277.25</v>
      </c>
      <c r="I50" s="119">
        <f>'расс сад'!I51+'суриков сад'!I50+'об сад нов'!I50</f>
        <v>4812.6779999999999</v>
      </c>
      <c r="J50" s="119">
        <f>'расс сад'!J51+'суриков сад'!J50+'об сад нов'!J50</f>
        <v>12833.808000000001</v>
      </c>
      <c r="K50" s="119">
        <f>'расс сад'!K51+'суриков сад'!K50+'об сад нов'!K50</f>
        <v>154005.696</v>
      </c>
      <c r="L50" s="259">
        <f t="shared" si="0"/>
        <v>154005.696</v>
      </c>
    </row>
    <row r="51" spans="1:33" ht="24.75" customHeight="1">
      <c r="A51" s="1273"/>
      <c r="B51" s="274" t="s">
        <v>93</v>
      </c>
      <c r="C51" s="1275"/>
      <c r="D51" s="119">
        <f>'расс сад'!D52+'суриков сад'!D51+'об сад нов'!D51</f>
        <v>5</v>
      </c>
      <c r="E51" s="119">
        <f>'расс сад'!E52+'суриков сад'!E51+'об сад нов'!E51</f>
        <v>6550</v>
      </c>
      <c r="F51" s="119">
        <f>'расс сад'!F52+'суриков сад'!F51+'об сад нов'!F51</f>
        <v>16375</v>
      </c>
      <c r="G51" s="119">
        <f>'расс сад'!G52+'суриков сад'!G51+'об сад нов'!G51</f>
        <v>1441</v>
      </c>
      <c r="H51" s="119">
        <f>'расс сад'!H52+'суриков сад'!H51+'об сад нов'!H51</f>
        <v>2783.75</v>
      </c>
      <c r="I51" s="119">
        <f>'расс сад'!I52+'суриков сад'!I51+'об сад нов'!I51</f>
        <v>12359.849999999999</v>
      </c>
      <c r="J51" s="119">
        <f>'расс сад'!J52+'суриков сад'!J51+'об сад нов'!J51</f>
        <v>32959.600000000006</v>
      </c>
      <c r="K51" s="119">
        <f>'расс сад'!K52+'суриков сад'!K51+'об сад нов'!K51</f>
        <v>314400</v>
      </c>
      <c r="L51" s="259">
        <f t="shared" si="0"/>
        <v>395515.20000000007</v>
      </c>
      <c r="M51" s="2"/>
      <c r="N51" s="2"/>
    </row>
    <row r="52" spans="1:33" ht="18.75" customHeight="1">
      <c r="A52" s="1273"/>
      <c r="B52" s="274" t="s">
        <v>93</v>
      </c>
      <c r="C52" s="1275"/>
      <c r="D52" s="119">
        <f>'расс сад'!D53+'суриков сад'!D52+'об сад нов'!D52</f>
        <v>4.5</v>
      </c>
      <c r="E52" s="119">
        <f>'расс сад'!E53+'суриков сад'!E52+'об сад нов'!E52</f>
        <v>14412</v>
      </c>
      <c r="F52" s="119">
        <f>'расс сад'!F53+'суриков сад'!F52+'об сад нов'!F52</f>
        <v>16167.5</v>
      </c>
      <c r="G52" s="119">
        <f>'расс сад'!G53+'суриков сад'!G52+'об сад нов'!G52</f>
        <v>1635.06</v>
      </c>
      <c r="H52" s="119">
        <f>'расс сад'!H53+'суриков сад'!H52+'об сад нов'!H52</f>
        <v>3690.7799999999997</v>
      </c>
      <c r="I52" s="119">
        <f>'расс сад'!I53+'суриков сад'!I52+'об сад нов'!I52</f>
        <v>12896.003999999999</v>
      </c>
      <c r="J52" s="119">
        <f>'расс сад'!J53+'суриков сад'!J52+'об сад нов'!J52</f>
        <v>34389.343999999997</v>
      </c>
      <c r="K52" s="119">
        <f>'расс сад'!K53+'суриков сад'!K52+'об сад нов'!K52</f>
        <v>322379.136</v>
      </c>
      <c r="L52" s="259">
        <f t="shared" si="0"/>
        <v>412672.12799999997</v>
      </c>
    </row>
    <row r="53" spans="1:33" ht="44.25" customHeight="1">
      <c r="A53" s="1273"/>
      <c r="B53" s="274" t="s">
        <v>186</v>
      </c>
      <c r="C53" s="1275"/>
      <c r="D53" s="119">
        <f>'расс сад'!D54+'суриков сад'!D53+'об сад нов'!D53</f>
        <v>3.5</v>
      </c>
      <c r="E53" s="119">
        <f>'расс сад'!E54+'суриков сад'!E53+'об сад нов'!E53</f>
        <v>9566</v>
      </c>
      <c r="F53" s="119">
        <f>'расс сад'!F54+'суриков сад'!F53+'об сад нов'!F53</f>
        <v>11333</v>
      </c>
      <c r="G53" s="119">
        <f>'расс сад'!G54+'суриков сад'!G53+'об сад нов'!G53</f>
        <v>0</v>
      </c>
      <c r="H53" s="119">
        <f>'расс сад'!H54+'суриков сад'!H53+'об сад нов'!H53</f>
        <v>1536.2</v>
      </c>
      <c r="I53" s="119">
        <f>'расс сад'!I54+'суриков сад'!I53+'об сад нов'!I53</f>
        <v>7721.52</v>
      </c>
      <c r="J53" s="119">
        <f>'расс сад'!J54+'суриков сад'!J53+'об сад нов'!J53</f>
        <v>20590.72</v>
      </c>
      <c r="K53" s="119">
        <f>'расс сад'!K54+'суриков сад'!K53+'об сад нов'!K53</f>
        <v>207788.64</v>
      </c>
      <c r="L53" s="259">
        <f t="shared" si="0"/>
        <v>247088.64000000001</v>
      </c>
      <c r="M53" s="2"/>
      <c r="N53" s="2"/>
    </row>
    <row r="54" spans="1:33" ht="21.75" customHeight="1">
      <c r="A54" s="1273"/>
      <c r="B54" s="274" t="s">
        <v>87</v>
      </c>
      <c r="C54" s="1275"/>
      <c r="D54" s="119">
        <f>'расс сад'!D55+'суриков сад'!D54+'об сад нов'!D54</f>
        <v>2</v>
      </c>
      <c r="E54" s="119">
        <f>'расс сад'!E55+'суриков сад'!E54+'об сад нов'!E54</f>
        <v>6550</v>
      </c>
      <c r="F54" s="119">
        <f>'расс сад'!F55+'суриков сад'!F54+'об сад нов'!F54</f>
        <v>6550</v>
      </c>
      <c r="G54" s="119">
        <f>'расс сад'!G55+'суриков сад'!G54+'об сад нов'!G54</f>
        <v>0</v>
      </c>
      <c r="H54" s="119">
        <f>'расс сад'!H55+'суриков сад'!H54+'об сад нов'!H54</f>
        <v>1310</v>
      </c>
      <c r="I54" s="119">
        <f>'расс сад'!I55+'суриков сад'!I54+'об сад нов'!I54</f>
        <v>4716</v>
      </c>
      <c r="J54" s="119">
        <f>'расс сад'!J55+'суриков сад'!J54+'об сад нов'!J54</f>
        <v>12576</v>
      </c>
      <c r="K54" s="119">
        <f>'расс сад'!K55+'суриков сад'!K54+'об сад нов'!K54</f>
        <v>111612</v>
      </c>
      <c r="L54" s="259">
        <f t="shared" si="0"/>
        <v>150912</v>
      </c>
    </row>
    <row r="55" spans="1:33" ht="33" customHeight="1">
      <c r="A55" s="1273"/>
      <c r="B55" s="274" t="s">
        <v>179</v>
      </c>
      <c r="C55" s="1275"/>
      <c r="D55" s="119">
        <f>'расс сад'!D56+'суриков сад'!D55+'об сад нов'!D55</f>
        <v>4</v>
      </c>
      <c r="E55" s="119">
        <f>'расс сад'!E56+'суриков сад'!E55+'об сад нов'!E55</f>
        <v>12841</v>
      </c>
      <c r="F55" s="119">
        <f>'расс сад'!F56+'суриков сад'!F55+'об сад нов'!F55</f>
        <v>12905.75</v>
      </c>
      <c r="G55" s="119">
        <f>'расс сад'!G56+'суриков сад'!G55+'об сад нов'!G55</f>
        <v>828.19</v>
      </c>
      <c r="H55" s="119">
        <f>'расс сад'!H56+'суриков сад'!H55+'об сад нов'!H55</f>
        <v>2735.19</v>
      </c>
      <c r="I55" s="119">
        <f>'расс сад'!I56+'суриков сад'!I55+'об сад нов'!I55</f>
        <v>9881.4779999999992</v>
      </c>
      <c r="J55" s="119">
        <f>'расс сад'!J56+'суриков сад'!J55+'об сад нов'!J55</f>
        <v>26350.608</v>
      </c>
      <c r="K55" s="119">
        <f>'расс сад'!K56+'суриков сад'!K55+'об сад нов'!K55</f>
        <v>267082.272</v>
      </c>
      <c r="L55" s="259">
        <f t="shared" si="0"/>
        <v>316207.29599999997</v>
      </c>
      <c r="M55" s="2"/>
      <c r="N55" s="2"/>
      <c r="AG55" s="2"/>
    </row>
    <row r="56" spans="1:33" ht="23.25" customHeight="1">
      <c r="A56" s="1273"/>
      <c r="B56" s="274" t="s">
        <v>180</v>
      </c>
      <c r="C56" s="1275"/>
      <c r="D56" s="119">
        <f>'расс сад'!D57+'суриков сад'!D56+'об сад нов'!D56</f>
        <v>2</v>
      </c>
      <c r="E56" s="119">
        <f>'расс сад'!E57+'суриков сад'!E56+'об сад нов'!E56</f>
        <v>6550</v>
      </c>
      <c r="F56" s="119">
        <f>'расс сад'!F57+'суриков сад'!F56+'об сад нов'!F56</f>
        <v>6550</v>
      </c>
      <c r="G56" s="119">
        <f>'расс сад'!G57+'суриков сад'!G56+'об сад нов'!G56</f>
        <v>0</v>
      </c>
      <c r="H56" s="119">
        <f>'расс сад'!H57+'суриков сад'!H56+'об сад нов'!H56</f>
        <v>1310</v>
      </c>
      <c r="I56" s="119">
        <f>'расс сад'!I57+'суриков сад'!I56+'об сад нов'!I56</f>
        <v>4716</v>
      </c>
      <c r="J56" s="119">
        <f>'расс сад'!J57+'суриков сад'!J56+'об сад нов'!J56</f>
        <v>12576</v>
      </c>
      <c r="K56" s="119">
        <f>'расс сад'!K57+'суриков сад'!K56+'об сад нов'!K56</f>
        <v>111612</v>
      </c>
      <c r="L56" s="259">
        <f t="shared" si="0"/>
        <v>150912</v>
      </c>
      <c r="AG56" s="2"/>
    </row>
    <row r="57" spans="1:33" ht="31.5" customHeight="1">
      <c r="A57" s="1273"/>
      <c r="B57" s="274" t="s">
        <v>85</v>
      </c>
      <c r="C57" s="1275"/>
      <c r="D57" s="119">
        <f>'расс сад'!D58+'суриков сад'!D57+'об сад нов'!D57</f>
        <v>3</v>
      </c>
      <c r="E57" s="119">
        <f>'расс сад'!E58+'суриков сад'!E57+'об сад нов'!E57</f>
        <v>6550</v>
      </c>
      <c r="F57" s="119">
        <f>'расс сад'!F58+'суриков сад'!F57+'об сад нов'!F57</f>
        <v>9825</v>
      </c>
      <c r="G57" s="119">
        <f>'расс сад'!G58+'суриков сад'!G57+'об сад нов'!G57</f>
        <v>0</v>
      </c>
      <c r="H57" s="119">
        <f>'расс сад'!H58+'суриков сад'!H57+'об сад нов'!H57</f>
        <v>1310</v>
      </c>
      <c r="I57" s="119">
        <f>'расс сад'!I58+'суриков сад'!I57+'об сад нов'!I57</f>
        <v>6681</v>
      </c>
      <c r="J57" s="119">
        <f>'расс сад'!J58+'суриков сад'!J57+'об сад нов'!J57</f>
        <v>17816</v>
      </c>
      <c r="K57" s="119">
        <f>'расс сад'!K58+'суриков сад'!K57+'об сад нов'!K57</f>
        <v>174492</v>
      </c>
      <c r="L57" s="259">
        <f t="shared" si="0"/>
        <v>213792</v>
      </c>
      <c r="M57" s="2"/>
      <c r="N57" s="2"/>
      <c r="AG57" s="2"/>
    </row>
    <row r="58" spans="1:33" ht="36">
      <c r="A58" s="1273"/>
      <c r="B58" s="274" t="s">
        <v>181</v>
      </c>
      <c r="C58" s="1275"/>
      <c r="D58" s="119">
        <f>'расс сад'!D59+'суриков сад'!D58+'об сад нов'!D58</f>
        <v>2</v>
      </c>
      <c r="E58" s="119">
        <f>'расс сад'!E59+'суриков сад'!E58+'об сад нов'!E58</f>
        <v>6550</v>
      </c>
      <c r="F58" s="119">
        <f>'расс сад'!F59+'суриков сад'!F58+'об сад нов'!F58</f>
        <v>6550</v>
      </c>
      <c r="G58" s="119">
        <f>'расс сад'!G59+'суриков сад'!G58+'об сад нов'!G58</f>
        <v>0</v>
      </c>
      <c r="H58" s="119">
        <f>'расс сад'!H59+'суриков сад'!H58+'об сад нов'!H58</f>
        <v>982.5</v>
      </c>
      <c r="I58" s="119">
        <f>'расс сад'!I59+'суриков сад'!I58+'об сад нов'!I58</f>
        <v>4519.5</v>
      </c>
      <c r="J58" s="119">
        <f>'расс сад'!J59+'суриков сад'!J58+'об сад нов'!J58</f>
        <v>12052</v>
      </c>
      <c r="K58" s="119">
        <f>'расс сад'!K59+'суриков сад'!K58+'об сад нов'!K58</f>
        <v>105324</v>
      </c>
      <c r="L58" s="259">
        <f t="shared" si="0"/>
        <v>144624</v>
      </c>
      <c r="M58" s="2"/>
      <c r="N58" s="2"/>
      <c r="AG58" s="2"/>
    </row>
    <row r="59" spans="1:33" ht="21" customHeight="1">
      <c r="A59" s="1273"/>
      <c r="B59" s="274" t="s">
        <v>82</v>
      </c>
      <c r="C59" s="1275"/>
      <c r="D59" s="119">
        <f>'расс сад'!D60+'суриков сад'!D59+'об сад нов'!D59</f>
        <v>10</v>
      </c>
      <c r="E59" s="119">
        <f>'расс сад'!E60+'суриков сад'!E59+'об сад нов'!E59</f>
        <v>9825</v>
      </c>
      <c r="F59" s="119">
        <f>'расс сад'!F60+'суриков сад'!F59+'об сад нов'!F59</f>
        <v>32750</v>
      </c>
      <c r="G59" s="119">
        <f>'расс сад'!G60+'суриков сад'!G59+'об сад нов'!G59</f>
        <v>7737.1875</v>
      </c>
      <c r="H59" s="119">
        <f>'расс сад'!H60+'суриков сад'!H59+'об сад нов'!H59</f>
        <v>6222.5</v>
      </c>
      <c r="I59" s="119">
        <f>'расс сад'!I60+'суриков сад'!I59+'об сад нов'!I59</f>
        <v>28025.8125</v>
      </c>
      <c r="J59" s="119">
        <f>'расс сад'!J60+'суриков сад'!J59+'об сад нов'!J59</f>
        <v>74735.5</v>
      </c>
      <c r="K59" s="119">
        <f>'расс сад'!K60+'суриков сад'!K59+'об сад нов'!K59</f>
        <v>718011</v>
      </c>
      <c r="L59" s="259">
        <f t="shared" si="0"/>
        <v>896826</v>
      </c>
      <c r="M59" s="2"/>
      <c r="N59" s="2"/>
      <c r="AG59" s="2"/>
    </row>
    <row r="60" spans="1:33" ht="29.25" customHeight="1">
      <c r="A60" s="1273"/>
      <c r="B60" s="274" t="s">
        <v>88</v>
      </c>
      <c r="C60" s="275" t="s">
        <v>90</v>
      </c>
      <c r="D60" s="119">
        <f>'расс сад'!D61+'суриков сад'!D60+'об сад нов'!D60</f>
        <v>4</v>
      </c>
      <c r="E60" s="119">
        <f>'расс сад'!E61+'суриков сад'!E60+'об сад нов'!E60</f>
        <v>9566</v>
      </c>
      <c r="F60" s="119">
        <f>'расс сад'!F61+'суриков сад'!F60+'об сад нов'!F60</f>
        <v>12841</v>
      </c>
      <c r="G60" s="119">
        <f>'расс сад'!G61+'суриков сад'!G60+'об сад нов'!G60</f>
        <v>0</v>
      </c>
      <c r="H60" s="119">
        <f>'расс сад'!H61+'суриков сад'!H60+'об сад нов'!H60</f>
        <v>1926.15</v>
      </c>
      <c r="I60" s="119">
        <f>'расс сад'!I61+'суриков сад'!I60+'об сад нов'!I60</f>
        <v>8860.2900000000009</v>
      </c>
      <c r="J60" s="119">
        <f>'расс сад'!J61+'суриков сад'!J60+'об сад нов'!J60</f>
        <v>23627.440000000002</v>
      </c>
      <c r="K60" s="119">
        <f>'расс сад'!K61+'суриков сад'!K60+'об сад нов'!K60</f>
        <v>244229.28</v>
      </c>
      <c r="L60" s="259">
        <f t="shared" si="0"/>
        <v>283529.28000000003</v>
      </c>
    </row>
    <row r="61" spans="1:33" ht="36" customHeight="1" thickBot="1">
      <c r="A61" s="1424"/>
      <c r="B61" s="208" t="s">
        <v>182</v>
      </c>
      <c r="C61" s="209" t="s">
        <v>92</v>
      </c>
      <c r="D61" s="119">
        <f>'расс сад'!D62+'суриков сад'!D61+'об сад нов'!D61</f>
        <v>4</v>
      </c>
      <c r="E61" s="119">
        <f>'расс сад'!E62+'суриков сад'!E61+'об сад нов'!E61</f>
        <v>3275</v>
      </c>
      <c r="F61" s="119">
        <f>'расс сад'!F62+'суриков сад'!F61+'об сад нов'!F61</f>
        <v>13100</v>
      </c>
      <c r="G61" s="119">
        <f>'расс сад'!G62+'суриков сад'!G61+'об сад нов'!G61</f>
        <v>4585</v>
      </c>
      <c r="H61" s="119">
        <f>'расс сад'!H62+'суриков сад'!H61+'об сад нов'!H61</f>
        <v>3275</v>
      </c>
      <c r="I61" s="119">
        <f>'расс сад'!I62+'суриков сад'!I61+'об сад нов'!I61</f>
        <v>12576</v>
      </c>
      <c r="J61" s="119">
        <f>'расс сад'!J62+'суриков сад'!J61+'об сад нов'!J61</f>
        <v>33536</v>
      </c>
      <c r="K61" s="119">
        <f>'расс сад'!K62+'суриков сад'!K61+'об сад нов'!K61</f>
        <v>201216</v>
      </c>
      <c r="L61" s="259">
        <f t="shared" si="0"/>
        <v>402432</v>
      </c>
    </row>
    <row r="62" spans="1:33" ht="21" customHeight="1" thickBot="1">
      <c r="A62" s="214"/>
      <c r="B62" s="220" t="s">
        <v>68</v>
      </c>
      <c r="C62" s="215"/>
      <c r="D62" s="222">
        <f t="shared" ref="D62:K62" si="5">SUM(D50:D61)</f>
        <v>45</v>
      </c>
      <c r="E62" s="221">
        <f t="shared" si="5"/>
        <v>97344</v>
      </c>
      <c r="F62" s="222">
        <f t="shared" si="5"/>
        <v>150056.25</v>
      </c>
      <c r="G62" s="222">
        <f t="shared" si="5"/>
        <v>17861.317500000001</v>
      </c>
      <c r="H62" s="222">
        <f t="shared" si="5"/>
        <v>28359.32</v>
      </c>
      <c r="I62" s="221">
        <f t="shared" si="5"/>
        <v>117766.13250000001</v>
      </c>
      <c r="J62" s="222">
        <f t="shared" si="5"/>
        <v>314043.02</v>
      </c>
      <c r="K62" s="310">
        <f t="shared" si="5"/>
        <v>2932152.0239999997</v>
      </c>
      <c r="L62" s="259">
        <f t="shared" si="0"/>
        <v>3768516.24</v>
      </c>
      <c r="M62" s="258">
        <f>'расс сад'!K63+'суриков сад'!K62+'об сад нов'!K62</f>
        <v>2932152.0240000002</v>
      </c>
    </row>
    <row r="63" spans="1:33" ht="25.5" customHeight="1">
      <c r="A63" s="217"/>
      <c r="B63" s="306" t="s">
        <v>56</v>
      </c>
      <c r="C63" s="279"/>
      <c r="D63" s="119">
        <f>'расс сад'!D64+'суриков сад'!D63+'об сад нов'!D63</f>
        <v>0</v>
      </c>
      <c r="E63" s="119">
        <f>'расс сад'!E64+'суриков сад'!E63+'об сад нов'!E63</f>
        <v>0</v>
      </c>
      <c r="F63" s="119">
        <f>'расс сад'!F64+'суриков сад'!F63+'об сад нов'!F63</f>
        <v>0</v>
      </c>
      <c r="G63" s="119">
        <f>'расс сад'!G64+'суриков сад'!G63+'об сад нов'!G63</f>
        <v>0</v>
      </c>
      <c r="H63" s="119">
        <f>'расс сад'!H64+'суриков сад'!H63+'об сад нов'!H63</f>
        <v>0</v>
      </c>
      <c r="I63" s="119">
        <f>'расс сад'!I64+'суриков сад'!I63+'об сад нов'!I63</f>
        <v>0</v>
      </c>
      <c r="J63" s="119">
        <f>'расс сад'!J64+'суриков сад'!J63+'об сад нов'!J63</f>
        <v>47106.452999999994</v>
      </c>
      <c r="K63" s="119">
        <f>'расс сад'!K64+'суриков сад'!K63+'об сад нов'!K63</f>
        <v>439822.80359999998</v>
      </c>
      <c r="L63" s="259">
        <f t="shared" si="0"/>
        <v>565277.43599999999</v>
      </c>
      <c r="AG63" s="2"/>
    </row>
    <row r="64" spans="1:33" ht="48">
      <c r="A64" s="274"/>
      <c r="B64" s="309" t="s">
        <v>78</v>
      </c>
      <c r="C64" s="275"/>
      <c r="D64" s="119">
        <f>'расс сад'!D65+'суриков сад'!D64+'об сад нов'!D64</f>
        <v>0</v>
      </c>
      <c r="E64" s="119">
        <f>'расс сад'!E65+'суриков сад'!E64+'об сад нов'!E64</f>
        <v>0</v>
      </c>
      <c r="F64" s="119">
        <f>'расс сад'!F65+'суриков сад'!F64+'об сад нов'!F64</f>
        <v>0</v>
      </c>
      <c r="G64" s="119">
        <f>'расс сад'!G65+'суриков сад'!G64+'об сад нов'!G64</f>
        <v>0</v>
      </c>
      <c r="H64" s="119">
        <f>'расс сад'!H65+'суриков сад'!H64+'об сад нов'!H64</f>
        <v>0</v>
      </c>
      <c r="I64" s="119">
        <f>'расс сад'!I65+'суриков сад'!I64+'об сад нов'!I64</f>
        <v>0</v>
      </c>
      <c r="J64" s="119">
        <f>'расс сад'!J65+'суриков сад'!J64+'об сад нов'!J64</f>
        <v>730629.28</v>
      </c>
      <c r="K64" s="119">
        <f>'расс сад'!K65+'суриков сад'!K64+'об сад нов'!K64</f>
        <v>6905741.7000000011</v>
      </c>
      <c r="L64" s="259">
        <f t="shared" si="0"/>
        <v>8767551.3599999994</v>
      </c>
    </row>
    <row r="65" spans="1:29" ht="24">
      <c r="A65" s="274"/>
      <c r="B65" s="278" t="s">
        <v>172</v>
      </c>
      <c r="C65" s="275"/>
      <c r="D65" s="119">
        <f>'расс сад'!D66+'суриков сад'!D65+'об сад нов'!D65</f>
        <v>0</v>
      </c>
      <c r="E65" s="119">
        <f>'расс сад'!E66+'суриков сад'!E65+'об сад нов'!E65</f>
        <v>0</v>
      </c>
      <c r="F65" s="119">
        <f>'расс сад'!F66+'суриков сад'!F65+'об сад нов'!F65</f>
        <v>0</v>
      </c>
      <c r="G65" s="119">
        <f>'расс сад'!G66+'суриков сад'!G65+'об сад нов'!G65</f>
        <v>0</v>
      </c>
      <c r="H65" s="119">
        <f>'расс сад'!H66+'суриков сад'!H65+'об сад нов'!H65</f>
        <v>0</v>
      </c>
      <c r="I65" s="119">
        <f>'расс сад'!I66+'суриков сад'!I65+'об сад нов'!I65</f>
        <v>0</v>
      </c>
      <c r="J65" s="119">
        <f>'расс сад'!J66+'суриков сад'!J65+'об сад нов'!J65</f>
        <v>5100</v>
      </c>
      <c r="K65" s="119">
        <f>'расс сад'!K66+'суриков сад'!K65+'об сад нов'!K65</f>
        <v>194544</v>
      </c>
      <c r="L65" s="259">
        <f t="shared" si="0"/>
        <v>61200</v>
      </c>
    </row>
    <row r="66" spans="1:29" ht="12.75" thickBot="1">
      <c r="A66" s="307"/>
      <c r="B66" s="308" t="s">
        <v>103</v>
      </c>
      <c r="C66" s="298"/>
      <c r="D66" s="299">
        <f t="shared" ref="D66:K66" si="6">D62+D63+D64+D65</f>
        <v>45</v>
      </c>
      <c r="E66" s="299">
        <f t="shared" si="6"/>
        <v>97344</v>
      </c>
      <c r="F66" s="299">
        <f t="shared" si="6"/>
        <v>150056.25</v>
      </c>
      <c r="G66" s="299">
        <f t="shared" si="6"/>
        <v>17861.317500000001</v>
      </c>
      <c r="H66" s="299">
        <f t="shared" si="6"/>
        <v>28359.32</v>
      </c>
      <c r="I66" s="299">
        <f t="shared" si="6"/>
        <v>117766.13250000001</v>
      </c>
      <c r="J66" s="299">
        <f t="shared" si="6"/>
        <v>1096878.753</v>
      </c>
      <c r="K66" s="299">
        <f t="shared" si="6"/>
        <v>10472260.527600002</v>
      </c>
      <c r="L66" s="259">
        <f t="shared" si="0"/>
        <v>13162545.036</v>
      </c>
    </row>
    <row r="67" spans="1:29" ht="12.75" thickBot="1">
      <c r="B67" s="301" t="s">
        <v>149</v>
      </c>
      <c r="C67" s="302"/>
      <c r="D67" s="320" t="e">
        <f>D33+D48+D66</f>
        <v>#REF!</v>
      </c>
      <c r="E67" s="303" t="e">
        <f t="shared" ref="E67:K67" si="7">E33+E48+E66</f>
        <v>#REF!</v>
      </c>
      <c r="F67" s="303" t="e">
        <f t="shared" si="7"/>
        <v>#REF!</v>
      </c>
      <c r="G67" s="303" t="e">
        <f t="shared" si="7"/>
        <v>#REF!</v>
      </c>
      <c r="H67" s="303" t="e">
        <f t="shared" si="7"/>
        <v>#REF!</v>
      </c>
      <c r="I67" s="303" t="e">
        <f t="shared" si="7"/>
        <v>#REF!</v>
      </c>
      <c r="J67" s="303" t="e">
        <f t="shared" si="7"/>
        <v>#REF!</v>
      </c>
      <c r="K67" s="303" t="e">
        <f t="shared" si="7"/>
        <v>#REF!</v>
      </c>
      <c r="L67" s="259" t="e">
        <f t="shared" si="0"/>
        <v>#REF!</v>
      </c>
      <c r="M67" s="258">
        <f>'расс сад'!K68+'суриков сад'!K67+'об сад нов'!K67</f>
        <v>39599080.623999998</v>
      </c>
      <c r="N67" s="258" t="e">
        <f>K67-M67</f>
        <v>#REF!</v>
      </c>
      <c r="Q67" s="258" t="e">
        <f>D67-D48-D33</f>
        <v>#REF!</v>
      </c>
    </row>
    <row r="69" spans="1:29">
      <c r="B69" s="252" t="s">
        <v>99</v>
      </c>
      <c r="H69" s="252" t="s">
        <v>127</v>
      </c>
      <c r="K69" s="253"/>
    </row>
    <row r="70" spans="1:29">
      <c r="J70" s="254"/>
    </row>
    <row r="71" spans="1:29">
      <c r="D71" s="258"/>
    </row>
    <row r="72" spans="1:29" ht="41.25" customHeight="1">
      <c r="A72" s="1269" t="s">
        <v>151</v>
      </c>
      <c r="B72" s="1270"/>
      <c r="C72" s="1270"/>
      <c r="D72" s="242" t="e">
        <f>D33</f>
        <v>#REF!</v>
      </c>
      <c r="E72" s="242" t="e">
        <f t="shared" ref="E72:K72" si="8">E33</f>
        <v>#REF!</v>
      </c>
      <c r="F72" s="242" t="e">
        <f t="shared" si="8"/>
        <v>#REF!</v>
      </c>
      <c r="G72" s="242" t="e">
        <f t="shared" si="8"/>
        <v>#REF!</v>
      </c>
      <c r="H72" s="242" t="e">
        <f t="shared" si="8"/>
        <v>#REF!</v>
      </c>
      <c r="I72" s="242" t="e">
        <f t="shared" si="8"/>
        <v>#REF!</v>
      </c>
      <c r="J72" s="242" t="e">
        <f t="shared" si="8"/>
        <v>#REF!</v>
      </c>
      <c r="K72" s="242" t="e">
        <f t="shared" si="8"/>
        <v>#REF!</v>
      </c>
      <c r="Z72" s="259"/>
      <c r="AA72" s="259"/>
      <c r="AB72" s="2"/>
      <c r="AC72" s="259"/>
    </row>
    <row r="73" spans="1:29" ht="27.75" customHeight="1">
      <c r="A73" s="1314" t="s">
        <v>153</v>
      </c>
      <c r="B73" s="1419"/>
      <c r="C73" s="256"/>
      <c r="D73" s="242">
        <f>D48</f>
        <v>48.375</v>
      </c>
      <c r="E73" s="242">
        <f t="shared" ref="E73:K73" si="9">E48</f>
        <v>152126</v>
      </c>
      <c r="F73" s="242">
        <f t="shared" si="9"/>
        <v>404124.67000000004</v>
      </c>
      <c r="G73" s="242">
        <f t="shared" si="9"/>
        <v>92419.410000000018</v>
      </c>
      <c r="H73" s="242">
        <f t="shared" si="9"/>
        <v>85929.67</v>
      </c>
      <c r="I73" s="242">
        <f t="shared" si="9"/>
        <v>349484.24999999994</v>
      </c>
      <c r="J73" s="242">
        <f t="shared" si="9"/>
        <v>1880742</v>
      </c>
      <c r="K73" s="242">
        <f t="shared" si="9"/>
        <v>18783738.057999998</v>
      </c>
      <c r="P73" s="259"/>
    </row>
    <row r="74" spans="1:29" ht="28.5" customHeight="1">
      <c r="A74" s="1276" t="s">
        <v>152</v>
      </c>
      <c r="B74" s="1275"/>
      <c r="C74" s="1275"/>
      <c r="D74" s="257">
        <f>D66</f>
        <v>45</v>
      </c>
      <c r="E74" s="257">
        <f t="shared" ref="E74:K74" si="10">E66</f>
        <v>97344</v>
      </c>
      <c r="F74" s="257">
        <f t="shared" si="10"/>
        <v>150056.25</v>
      </c>
      <c r="G74" s="257">
        <f t="shared" si="10"/>
        <v>17861.317500000001</v>
      </c>
      <c r="H74" s="257">
        <f t="shared" si="10"/>
        <v>28359.32</v>
      </c>
      <c r="I74" s="257">
        <f t="shared" si="10"/>
        <v>117766.13250000001</v>
      </c>
      <c r="J74" s="257">
        <f t="shared" si="10"/>
        <v>1096878.753</v>
      </c>
      <c r="K74" s="257">
        <f t="shared" si="10"/>
        <v>10472260.527600002</v>
      </c>
    </row>
    <row r="75" spans="1:29">
      <c r="D75" s="321" t="e">
        <f>SUM(D72:D74)</f>
        <v>#REF!</v>
      </c>
      <c r="E75" s="258" t="e">
        <f t="shared" ref="E75:J75" si="11">SUM(E72:E74)</f>
        <v>#REF!</v>
      </c>
      <c r="F75" s="258" t="e">
        <f t="shared" si="11"/>
        <v>#REF!</v>
      </c>
      <c r="G75" s="258" t="e">
        <f t="shared" si="11"/>
        <v>#REF!</v>
      </c>
      <c r="H75" s="258" t="e">
        <f t="shared" si="11"/>
        <v>#REF!</v>
      </c>
      <c r="I75" s="258" t="e">
        <f t="shared" si="11"/>
        <v>#REF!</v>
      </c>
      <c r="J75" s="258" t="e">
        <f t="shared" si="11"/>
        <v>#REF!</v>
      </c>
      <c r="K75" s="258" t="e">
        <f>SUM(K71:K74)</f>
        <v>#REF!</v>
      </c>
    </row>
    <row r="76" spans="1:29">
      <c r="J76" s="258"/>
    </row>
    <row r="77" spans="1:29">
      <c r="J77" s="258"/>
    </row>
    <row r="78" spans="1:29">
      <c r="J78" s="258"/>
    </row>
    <row r="79" spans="1:29">
      <c r="A79" s="1" t="s">
        <v>206</v>
      </c>
      <c r="K79" s="258">
        <f>'об сад нов'!K67+'расс сад'!K68+'суриков сад'!K67</f>
        <v>39599080.623999998</v>
      </c>
    </row>
    <row r="80" spans="1:29">
      <c r="D80" s="343"/>
      <c r="J80" s="258"/>
    </row>
    <row r="81" spans="4:12">
      <c r="D81" s="342"/>
      <c r="K81" s="258"/>
    </row>
    <row r="82" spans="4:12">
      <c r="D82" s="258">
        <f>'нов сад'!D75+'расс сад'!D76+'суриков сад'!D75+'проточ ссап'!D75</f>
        <v>124.875</v>
      </c>
      <c r="K82" s="258"/>
    </row>
    <row r="83" spans="4:12">
      <c r="K83" s="258"/>
    </row>
    <row r="86" spans="4:12">
      <c r="L86" s="258"/>
    </row>
    <row r="90" spans="4:12">
      <c r="D90" s="1">
        <f>D62</f>
        <v>45</v>
      </c>
    </row>
  </sheetData>
  <mergeCells count="30">
    <mergeCell ref="A74:C74"/>
    <mergeCell ref="A34:A44"/>
    <mergeCell ref="B34:K34"/>
    <mergeCell ref="A49:A61"/>
    <mergeCell ref="C49:K49"/>
    <mergeCell ref="C50:C59"/>
    <mergeCell ref="A72:C72"/>
    <mergeCell ref="I16:I17"/>
    <mergeCell ref="J16:J17"/>
    <mergeCell ref="K16:K17"/>
    <mergeCell ref="B18:K18"/>
    <mergeCell ref="A73:B73"/>
    <mergeCell ref="A19:A33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G16:H16"/>
    <mergeCell ref="A7:K7"/>
    <mergeCell ref="I1:K1"/>
    <mergeCell ref="BS1:CJ1"/>
    <mergeCell ref="BU4:CJ4"/>
    <mergeCell ref="BU5:CJ5"/>
    <mergeCell ref="A6:K6"/>
  </mergeCells>
  <pageMargins left="0.51181102362204722" right="0.39370078740157483" top="0.47" bottom="0.3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6600"/>
  </sheetPr>
  <dimension ref="A1:CG80"/>
  <sheetViews>
    <sheetView topLeftCell="A36" workbookViewId="0">
      <selection activeCell="X55" sqref="X55"/>
    </sheetView>
  </sheetViews>
  <sheetFormatPr defaultRowHeight="12.75"/>
  <cols>
    <col min="1" max="1" width="9.140625" style="589"/>
    <col min="2" max="2" width="20.5703125" style="364" customWidth="1"/>
    <col min="3" max="3" width="0" style="589" hidden="1" customWidth="1"/>
    <col min="4" max="4" width="9.28515625" style="589" bestFit="1" customWidth="1"/>
    <col min="5" max="5" width="13.140625" style="589" customWidth="1"/>
    <col min="6" max="6" width="12.28515625" style="589" customWidth="1"/>
    <col min="7" max="7" width="10.5703125" style="589" customWidth="1"/>
    <col min="8" max="8" width="10.85546875" style="589" customWidth="1"/>
    <col min="9" max="9" width="11.140625" style="589" customWidth="1"/>
    <col min="10" max="10" width="13.28515625" style="589" customWidth="1"/>
    <col min="11" max="11" width="13.7109375" style="589" customWidth="1"/>
    <col min="12" max="16" width="0" style="589" hidden="1" customWidth="1"/>
    <col min="17" max="17" width="10" style="589" hidden="1" customWidth="1"/>
    <col min="18" max="18" width="14.140625" style="589" hidden="1" customWidth="1"/>
    <col min="19" max="19" width="12.140625" style="589" hidden="1" customWidth="1"/>
    <col min="20" max="20" width="0" style="589" hidden="1" customWidth="1"/>
    <col min="21" max="21" width="14.28515625" style="589" hidden="1" customWidth="1"/>
    <col min="22" max="22" width="0" style="589" hidden="1" customWidth="1"/>
    <col min="23" max="23" width="13.140625" style="589" bestFit="1" customWidth="1"/>
    <col min="24" max="24" width="14.85546875" style="589" customWidth="1"/>
    <col min="25" max="25" width="15.5703125" style="589" bestFit="1" customWidth="1"/>
    <col min="26" max="16384" width="9.140625" style="589"/>
  </cols>
  <sheetData>
    <row r="1" spans="1:85" ht="25.5" customHeight="1">
      <c r="A1" s="363"/>
      <c r="B1" s="363"/>
      <c r="C1" s="363"/>
      <c r="D1" s="363"/>
      <c r="E1" s="363"/>
      <c r="F1" s="363"/>
      <c r="G1" s="363"/>
      <c r="H1" s="363"/>
      <c r="I1" s="1306" t="s">
        <v>0</v>
      </c>
      <c r="J1" s="1307"/>
      <c r="K1" s="1307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363"/>
      <c r="BK1" s="363"/>
      <c r="BL1" s="363"/>
      <c r="BM1" s="363"/>
      <c r="BN1" s="363"/>
      <c r="BO1" s="363"/>
      <c r="BP1" s="1308"/>
      <c r="BQ1" s="1308"/>
      <c r="BR1" s="1308"/>
      <c r="BS1" s="1308"/>
      <c r="BT1" s="1308"/>
      <c r="BU1" s="1308"/>
      <c r="BV1" s="1308"/>
      <c r="BW1" s="1308"/>
      <c r="BX1" s="1308"/>
      <c r="BY1" s="1308"/>
      <c r="BZ1" s="1308"/>
      <c r="CA1" s="1308"/>
      <c r="CB1" s="1308"/>
      <c r="CC1" s="1308"/>
      <c r="CD1" s="1308"/>
      <c r="CE1" s="1308"/>
      <c r="CF1" s="1308"/>
      <c r="CG1" s="1308"/>
    </row>
    <row r="2" spans="1:85">
      <c r="F2" s="363" t="s">
        <v>2</v>
      </c>
      <c r="G2" s="363"/>
      <c r="H2" s="365" t="s">
        <v>1</v>
      </c>
    </row>
    <row r="3" spans="1:85">
      <c r="F3" s="363"/>
      <c r="G3" s="363"/>
      <c r="H3" s="365" t="s">
        <v>162</v>
      </c>
    </row>
    <row r="4" spans="1:85">
      <c r="A4" s="363"/>
      <c r="B4" s="363"/>
      <c r="C4" s="363"/>
      <c r="D4" s="363"/>
      <c r="E4" s="363"/>
      <c r="F4" s="363" t="s">
        <v>4</v>
      </c>
      <c r="G4" s="363"/>
      <c r="H4" s="365" t="s">
        <v>187</v>
      </c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1309"/>
      <c r="BS4" s="1309"/>
      <c r="BT4" s="1309"/>
      <c r="BU4" s="1309"/>
      <c r="BV4" s="1309"/>
      <c r="BW4" s="1309"/>
      <c r="BX4" s="1309"/>
      <c r="BY4" s="1309"/>
      <c r="BZ4" s="1309"/>
      <c r="CA4" s="1309"/>
      <c r="CB4" s="1309"/>
      <c r="CC4" s="1309"/>
      <c r="CD4" s="1309"/>
      <c r="CE4" s="1309"/>
      <c r="CF4" s="1309"/>
      <c r="CG4" s="1309"/>
    </row>
    <row r="5" spans="1:85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1309"/>
      <c r="BS5" s="1309"/>
      <c r="BT5" s="1309"/>
      <c r="BU5" s="1309"/>
      <c r="BV5" s="1309"/>
      <c r="BW5" s="1309"/>
      <c r="BX5" s="1309"/>
      <c r="BY5" s="1309"/>
      <c r="BZ5" s="1309"/>
      <c r="CA5" s="1309"/>
      <c r="CB5" s="1309"/>
      <c r="CC5" s="1309"/>
      <c r="CD5" s="1309"/>
      <c r="CE5" s="1309"/>
      <c r="CF5" s="1309"/>
      <c r="CG5" s="1309"/>
    </row>
    <row r="6" spans="1:85">
      <c r="A6" s="1409"/>
      <c r="B6" s="1410"/>
      <c r="C6" s="1410"/>
      <c r="D6" s="1410"/>
      <c r="E6" s="1410"/>
      <c r="F6" s="1410"/>
      <c r="G6" s="1410"/>
      <c r="H6" s="1410"/>
      <c r="I6" s="1410"/>
      <c r="J6" s="1410"/>
      <c r="K6" s="1410"/>
    </row>
    <row r="7" spans="1:85">
      <c r="A7" s="1409" t="s">
        <v>192</v>
      </c>
      <c r="B7" s="1410"/>
      <c r="C7" s="1410"/>
      <c r="D7" s="1410"/>
      <c r="E7" s="1410"/>
      <c r="F7" s="1410"/>
      <c r="G7" s="1410"/>
      <c r="H7" s="1410"/>
      <c r="I7" s="1410"/>
      <c r="J7" s="1410"/>
      <c r="K7" s="1410"/>
    </row>
    <row r="8" spans="1:85">
      <c r="A8" s="439"/>
      <c r="B8" s="439"/>
      <c r="C8" s="440"/>
      <c r="D8" s="440"/>
      <c r="E8" s="440"/>
      <c r="F8" s="440"/>
      <c r="G8" s="440"/>
      <c r="H8" s="440"/>
      <c r="I8" s="439"/>
      <c r="J8" s="439"/>
      <c r="K8" s="439"/>
    </row>
    <row r="9" spans="1:85">
      <c r="A9" s="439"/>
      <c r="B9" s="439"/>
      <c r="C9" s="440"/>
      <c r="D9" s="440"/>
      <c r="E9" s="1312" t="s">
        <v>9</v>
      </c>
      <c r="F9" s="1312"/>
      <c r="G9" s="1312" t="s">
        <v>10</v>
      </c>
      <c r="H9" s="1312"/>
      <c r="I9" s="439"/>
      <c r="J9" s="439"/>
      <c r="K9" s="439"/>
    </row>
    <row r="10" spans="1:85">
      <c r="B10" s="441" t="s">
        <v>11</v>
      </c>
      <c r="C10" s="440"/>
      <c r="D10" s="440"/>
      <c r="E10" s="1312">
        <v>2</v>
      </c>
      <c r="F10" s="1312"/>
      <c r="G10" s="1313" t="s">
        <v>353</v>
      </c>
      <c r="H10" s="1312"/>
      <c r="I10" s="439" t="s">
        <v>12</v>
      </c>
      <c r="J10" s="439"/>
      <c r="K10" s="439"/>
    </row>
    <row r="11" spans="1:85">
      <c r="A11" s="439"/>
      <c r="B11" s="439"/>
      <c r="C11" s="440"/>
      <c r="D11" s="440"/>
      <c r="E11" s="440"/>
      <c r="F11" s="440"/>
      <c r="G11" s="440"/>
      <c r="H11" s="440"/>
      <c r="I11" s="440" t="s">
        <v>13</v>
      </c>
      <c r="J11" s="440"/>
      <c r="K11" s="440"/>
    </row>
    <row r="12" spans="1:85">
      <c r="A12" s="440"/>
      <c r="B12" s="442" t="s">
        <v>358</v>
      </c>
      <c r="C12" s="440"/>
      <c r="D12" s="440"/>
      <c r="E12" s="440"/>
      <c r="F12" s="440"/>
      <c r="G12" s="440"/>
      <c r="H12" s="440"/>
      <c r="I12" s="440" t="s">
        <v>14</v>
      </c>
      <c r="J12" s="443"/>
      <c r="K12" s="440" t="s">
        <v>128</v>
      </c>
    </row>
    <row r="13" spans="1:85" ht="25.5">
      <c r="A13" s="440"/>
      <c r="B13" s="440"/>
      <c r="C13" s="440"/>
      <c r="D13" s="440"/>
      <c r="E13" s="440"/>
      <c r="F13" s="440"/>
      <c r="G13" s="440"/>
      <c r="H13" s="440"/>
      <c r="I13" s="790" t="s">
        <v>141</v>
      </c>
      <c r="J13" s="663">
        <f>J67</f>
        <v>270831.99359999999</v>
      </c>
      <c r="K13" s="440"/>
    </row>
    <row r="14" spans="1:85">
      <c r="A14" s="440"/>
      <c r="B14" s="444" t="s">
        <v>174</v>
      </c>
      <c r="C14" s="440"/>
      <c r="D14" s="445">
        <v>7</v>
      </c>
      <c r="E14" s="439"/>
      <c r="F14" s="439"/>
      <c r="G14" s="439"/>
      <c r="H14" s="440"/>
      <c r="I14" s="440" t="s">
        <v>15</v>
      </c>
      <c r="J14" s="440"/>
      <c r="K14" s="791">
        <f>D67</f>
        <v>9.625</v>
      </c>
    </row>
    <row r="15" spans="1:85" ht="18.75" customHeight="1">
      <c r="B15" s="447" t="s">
        <v>173</v>
      </c>
      <c r="D15" s="448">
        <v>1</v>
      </c>
      <c r="E15" s="449"/>
      <c r="F15" s="449"/>
      <c r="G15" s="449"/>
      <c r="K15" s="450" t="s">
        <v>16</v>
      </c>
    </row>
    <row r="16" spans="1:85" ht="18.75" customHeight="1">
      <c r="A16" s="1312" t="s">
        <v>17</v>
      </c>
      <c r="B16" s="1312" t="s">
        <v>18</v>
      </c>
      <c r="C16" s="1312" t="s">
        <v>19</v>
      </c>
      <c r="D16" s="1312" t="s">
        <v>20</v>
      </c>
      <c r="E16" s="1312" t="s">
        <v>21</v>
      </c>
      <c r="F16" s="1312" t="s">
        <v>5</v>
      </c>
      <c r="G16" s="1312" t="s">
        <v>6</v>
      </c>
      <c r="H16" s="1312"/>
      <c r="I16" s="1312" t="s">
        <v>7</v>
      </c>
      <c r="J16" s="1312" t="s">
        <v>22</v>
      </c>
      <c r="K16" s="1312" t="s">
        <v>354</v>
      </c>
    </row>
    <row r="17" spans="1:22" ht="53.25" customHeight="1">
      <c r="A17" s="1312"/>
      <c r="B17" s="1312"/>
      <c r="C17" s="1312"/>
      <c r="D17" s="1312"/>
      <c r="E17" s="1312"/>
      <c r="F17" s="1312"/>
      <c r="G17" s="732" t="s">
        <v>24</v>
      </c>
      <c r="H17" s="732" t="s">
        <v>25</v>
      </c>
      <c r="I17" s="1312"/>
      <c r="J17" s="1312"/>
      <c r="K17" s="1312"/>
    </row>
    <row r="18" spans="1:22" ht="15" customHeight="1">
      <c r="A18" s="452"/>
      <c r="B18" s="1295" t="s">
        <v>142</v>
      </c>
      <c r="C18" s="1296"/>
      <c r="D18" s="1296"/>
      <c r="E18" s="1296"/>
      <c r="F18" s="1296"/>
      <c r="G18" s="1296"/>
      <c r="H18" s="1296"/>
      <c r="I18" s="1296"/>
      <c r="J18" s="1296"/>
      <c r="K18" s="1296"/>
    </row>
    <row r="19" spans="1:22" ht="24" hidden="1" customHeight="1">
      <c r="A19" s="1297" t="s">
        <v>59</v>
      </c>
      <c r="B19" s="726" t="s">
        <v>165</v>
      </c>
      <c r="C19" s="727"/>
      <c r="D19" s="380"/>
      <c r="E19" s="381"/>
      <c r="F19" s="383"/>
      <c r="G19" s="383"/>
      <c r="H19" s="383"/>
      <c r="I19" s="453"/>
      <c r="J19" s="453"/>
      <c r="K19" s="375"/>
    </row>
    <row r="20" spans="1:22" ht="37.5" customHeight="1">
      <c r="A20" s="1298"/>
      <c r="B20" s="726" t="s">
        <v>150</v>
      </c>
      <c r="C20" s="727"/>
      <c r="D20" s="373">
        <v>1</v>
      </c>
      <c r="E20" s="374">
        <v>10554</v>
      </c>
      <c r="F20" s="383">
        <f t="shared" ref="F20:F25" si="0">D20*E20</f>
        <v>10554</v>
      </c>
      <c r="G20" s="375">
        <v>2638.5</v>
      </c>
      <c r="H20" s="383">
        <v>2638.5</v>
      </c>
      <c r="I20" s="453">
        <f>(F20+G20+H20)*60%</f>
        <v>9498.6</v>
      </c>
      <c r="J20" s="453">
        <f t="shared" ref="J20:J25" si="1">F20+G20+H20+I20</f>
        <v>25329.599999999999</v>
      </c>
      <c r="K20" s="375">
        <f>J20*6</f>
        <v>151977.59999999998</v>
      </c>
    </row>
    <row r="21" spans="1:22" ht="24" hidden="1" customHeight="1">
      <c r="A21" s="1299"/>
      <c r="B21" s="726" t="s">
        <v>166</v>
      </c>
      <c r="C21" s="727"/>
      <c r="D21" s="727"/>
      <c r="E21" s="374"/>
      <c r="F21" s="383">
        <f t="shared" si="0"/>
        <v>0</v>
      </c>
      <c r="G21" s="375"/>
      <c r="H21" s="375"/>
      <c r="I21" s="453">
        <f t="shared" ref="I21:I28" si="2">(F21+G21+H21)*60%</f>
        <v>0</v>
      </c>
      <c r="J21" s="453">
        <f t="shared" si="1"/>
        <v>0</v>
      </c>
      <c r="K21" s="375">
        <f t="shared" ref="K21:K24" si="3">J21*12</f>
        <v>0</v>
      </c>
    </row>
    <row r="22" spans="1:22" ht="36" hidden="1" customHeight="1">
      <c r="A22" s="1299"/>
      <c r="B22" s="735" t="s">
        <v>167</v>
      </c>
      <c r="C22" s="388"/>
      <c r="D22" s="388"/>
      <c r="E22" s="386"/>
      <c r="F22" s="383">
        <f t="shared" si="0"/>
        <v>0</v>
      </c>
      <c r="G22" s="391"/>
      <c r="H22" s="391"/>
      <c r="I22" s="453">
        <f t="shared" si="2"/>
        <v>0</v>
      </c>
      <c r="J22" s="453">
        <f t="shared" si="1"/>
        <v>0</v>
      </c>
      <c r="K22" s="375">
        <f t="shared" si="3"/>
        <v>0</v>
      </c>
    </row>
    <row r="23" spans="1:22" ht="15" hidden="1" customHeight="1">
      <c r="A23" s="1299"/>
      <c r="B23" s="735" t="s">
        <v>168</v>
      </c>
      <c r="C23" s="388"/>
      <c r="D23" s="385"/>
      <c r="E23" s="386"/>
      <c r="F23" s="383">
        <f t="shared" si="0"/>
        <v>0</v>
      </c>
      <c r="G23" s="391"/>
      <c r="H23" s="391"/>
      <c r="I23" s="453">
        <f t="shared" si="2"/>
        <v>0</v>
      </c>
      <c r="J23" s="453">
        <f t="shared" si="1"/>
        <v>0</v>
      </c>
      <c r="K23" s="375">
        <f t="shared" si="3"/>
        <v>0</v>
      </c>
    </row>
    <row r="24" spans="1:22" hidden="1">
      <c r="A24" s="1299"/>
      <c r="B24" s="735" t="s">
        <v>169</v>
      </c>
      <c r="C24" s="388"/>
      <c r="D24" s="388"/>
      <c r="E24" s="386"/>
      <c r="F24" s="383">
        <f t="shared" si="0"/>
        <v>0</v>
      </c>
      <c r="G24" s="391"/>
      <c r="H24" s="391"/>
      <c r="I24" s="453">
        <f t="shared" si="2"/>
        <v>0</v>
      </c>
      <c r="J24" s="453">
        <f t="shared" si="1"/>
        <v>0</v>
      </c>
      <c r="K24" s="375">
        <f t="shared" si="3"/>
        <v>0</v>
      </c>
    </row>
    <row r="25" spans="1:22" ht="13.5" thickBot="1">
      <c r="A25" s="1299"/>
      <c r="B25" s="735" t="s">
        <v>143</v>
      </c>
      <c r="C25" s="388"/>
      <c r="D25" s="865">
        <v>1</v>
      </c>
      <c r="E25" s="881">
        <v>4305</v>
      </c>
      <c r="F25" s="882">
        <f t="shared" si="0"/>
        <v>4305</v>
      </c>
      <c r="G25" s="867"/>
      <c r="H25" s="867">
        <v>645.75</v>
      </c>
      <c r="I25" s="863">
        <f t="shared" si="2"/>
        <v>2970.45</v>
      </c>
      <c r="J25" s="863">
        <f t="shared" si="1"/>
        <v>7921.2</v>
      </c>
      <c r="K25" s="846">
        <f>J25*6</f>
        <v>47527.199999999997</v>
      </c>
      <c r="V25" s="589" t="s">
        <v>128</v>
      </c>
    </row>
    <row r="26" spans="1:22" ht="38.25" hidden="1" customHeight="1">
      <c r="A26" s="1299"/>
      <c r="B26" s="726" t="s">
        <v>170</v>
      </c>
      <c r="C26" s="727"/>
      <c r="D26" s="727"/>
      <c r="E26" s="374"/>
      <c r="F26" s="375">
        <v>0</v>
      </c>
      <c r="G26" s="375"/>
      <c r="H26" s="375"/>
      <c r="I26" s="453">
        <f t="shared" si="2"/>
        <v>0</v>
      </c>
      <c r="J26" s="453">
        <v>0</v>
      </c>
      <c r="K26" s="375">
        <f t="shared" ref="K26:K27" si="4">J26*7</f>
        <v>0</v>
      </c>
    </row>
    <row r="27" spans="1:22" ht="15" hidden="1" customHeight="1">
      <c r="A27" s="1299"/>
      <c r="B27" s="726" t="s">
        <v>111</v>
      </c>
      <c r="C27" s="727"/>
      <c r="D27" s="727"/>
      <c r="E27" s="374"/>
      <c r="F27" s="375"/>
      <c r="G27" s="375"/>
      <c r="H27" s="375"/>
      <c r="I27" s="453">
        <f t="shared" si="2"/>
        <v>0</v>
      </c>
      <c r="J27" s="453"/>
      <c r="K27" s="375">
        <f t="shared" si="4"/>
        <v>0</v>
      </c>
    </row>
    <row r="28" spans="1:22" ht="14.25" hidden="1" customHeight="1" thickBot="1">
      <c r="A28" s="1299"/>
      <c r="B28" s="735" t="s">
        <v>74</v>
      </c>
      <c r="C28" s="388"/>
      <c r="D28" s="388"/>
      <c r="E28" s="386"/>
      <c r="F28" s="391"/>
      <c r="G28" s="391"/>
      <c r="H28" s="391"/>
      <c r="I28" s="453">
        <f t="shared" si="2"/>
        <v>0</v>
      </c>
      <c r="J28" s="453"/>
      <c r="K28" s="375"/>
    </row>
    <row r="29" spans="1:22" ht="25.5" customHeight="1" thickBot="1">
      <c r="A29" s="1299"/>
      <c r="B29" s="456"/>
      <c r="C29" s="457"/>
      <c r="D29" s="783">
        <f>SUM(D19:D28)</f>
        <v>2</v>
      </c>
      <c r="E29" s="783">
        <f t="shared" ref="E29:K29" si="5">SUM(E19:E28)</f>
        <v>14859</v>
      </c>
      <c r="F29" s="783">
        <f t="shared" si="5"/>
        <v>14859</v>
      </c>
      <c r="G29" s="783">
        <f t="shared" si="5"/>
        <v>2638.5</v>
      </c>
      <c r="H29" s="783">
        <f t="shared" si="5"/>
        <v>3284.25</v>
      </c>
      <c r="I29" s="783">
        <f t="shared" si="5"/>
        <v>12469.05</v>
      </c>
      <c r="J29" s="783">
        <f>SUM(J19:J28)</f>
        <v>33250.799999999996</v>
      </c>
      <c r="K29" s="783">
        <f t="shared" si="5"/>
        <v>199504.8</v>
      </c>
    </row>
    <row r="30" spans="1:22" ht="23.25" customHeight="1">
      <c r="A30" s="1299"/>
      <c r="B30" s="726" t="s">
        <v>171</v>
      </c>
      <c r="C30" s="730"/>
      <c r="D30" s="380"/>
      <c r="E30" s="380"/>
      <c r="F30" s="459"/>
      <c r="G30" s="459"/>
      <c r="H30" s="459"/>
      <c r="I30" s="459"/>
      <c r="J30" s="459">
        <f>J29*20%</f>
        <v>6650.16</v>
      </c>
      <c r="K30" s="375">
        <f t="shared" ref="K30:K31" si="6">J30*6</f>
        <v>39900.959999999999</v>
      </c>
    </row>
    <row r="31" spans="1:22" ht="51.75" thickBot="1">
      <c r="A31" s="1299"/>
      <c r="B31" s="460" t="s">
        <v>78</v>
      </c>
      <c r="C31" s="727"/>
      <c r="D31" s="373"/>
      <c r="E31" s="373"/>
      <c r="F31" s="389"/>
      <c r="G31" s="389"/>
      <c r="H31" s="389"/>
      <c r="I31" s="389"/>
      <c r="J31" s="389">
        <v>16525.8</v>
      </c>
      <c r="K31" s="375">
        <f t="shared" si="6"/>
        <v>99154.799999999988</v>
      </c>
    </row>
    <row r="32" spans="1:22" ht="24.75" hidden="1" customHeight="1" thickBot="1">
      <c r="A32" s="1299"/>
      <c r="B32" s="735" t="s">
        <v>172</v>
      </c>
      <c r="C32" s="388"/>
      <c r="D32" s="385"/>
      <c r="E32" s="385"/>
      <c r="F32" s="390"/>
      <c r="G32" s="390"/>
      <c r="H32" s="390"/>
      <c r="I32" s="390"/>
      <c r="J32" s="390"/>
      <c r="K32" s="375">
        <f>J32*7</f>
        <v>0</v>
      </c>
    </row>
    <row r="33" spans="1:25" ht="39" thickBot="1">
      <c r="A33" s="1299"/>
      <c r="B33" s="462" t="s">
        <v>145</v>
      </c>
      <c r="C33" s="457"/>
      <c r="D33" s="463">
        <f>D29+D30+D31</f>
        <v>2</v>
      </c>
      <c r="E33" s="463">
        <f t="shared" ref="E33:K33" si="7">E29+E30+E31</f>
        <v>14859</v>
      </c>
      <c r="F33" s="463">
        <f t="shared" si="7"/>
        <v>14859</v>
      </c>
      <c r="G33" s="463">
        <f t="shared" si="7"/>
        <v>2638.5</v>
      </c>
      <c r="H33" s="463">
        <f t="shared" si="7"/>
        <v>3284.25</v>
      </c>
      <c r="I33" s="463">
        <f t="shared" si="7"/>
        <v>12469.05</v>
      </c>
      <c r="J33" s="463">
        <f>J29+J30+J31</f>
        <v>56426.759999999995</v>
      </c>
      <c r="K33" s="463">
        <f t="shared" si="7"/>
        <v>338560.55999999994</v>
      </c>
    </row>
    <row r="34" spans="1:25" ht="27.75" customHeight="1">
      <c r="A34" s="1412" t="s">
        <v>32</v>
      </c>
      <c r="B34" s="1295" t="s">
        <v>144</v>
      </c>
      <c r="C34" s="1296"/>
      <c r="D34" s="1296"/>
      <c r="E34" s="1296"/>
      <c r="F34" s="1296"/>
      <c r="G34" s="1296"/>
      <c r="H34" s="1296"/>
      <c r="I34" s="1296"/>
      <c r="J34" s="1296"/>
      <c r="K34" s="1296"/>
    </row>
    <row r="35" spans="1:25" ht="60" hidden="1" customHeight="1">
      <c r="A35" s="1413"/>
      <c r="B35" s="726" t="s">
        <v>146</v>
      </c>
      <c r="C35" s="727" t="s">
        <v>36</v>
      </c>
      <c r="D35" s="373"/>
      <c r="E35" s="374"/>
      <c r="F35" s="375"/>
      <c r="G35" s="375"/>
      <c r="H35" s="375"/>
      <c r="I35" s="453"/>
      <c r="J35" s="453"/>
      <c r="K35" s="375"/>
    </row>
    <row r="36" spans="1:25" ht="28.5" customHeight="1">
      <c r="A36" s="1413"/>
      <c r="B36" s="726" t="s">
        <v>146</v>
      </c>
      <c r="C36" s="727"/>
      <c r="D36" s="389">
        <v>1</v>
      </c>
      <c r="E36" s="374">
        <v>7171</v>
      </c>
      <c r="F36" s="375">
        <v>7171</v>
      </c>
      <c r="G36" s="375">
        <v>1792.75</v>
      </c>
      <c r="H36" s="375">
        <v>1794.05</v>
      </c>
      <c r="I36" s="453">
        <f>(F36+G36+H36)*60%</f>
        <v>6454.6799999999994</v>
      </c>
      <c r="J36" s="453">
        <f>F36+G36+H36+I36</f>
        <v>17212.48</v>
      </c>
      <c r="K36" s="375">
        <f t="shared" ref="K36:K39" si="8">J36*6</f>
        <v>103274.88</v>
      </c>
    </row>
    <row r="37" spans="1:25" ht="39.75" customHeight="1">
      <c r="A37" s="1413"/>
      <c r="B37" s="726" t="s">
        <v>147</v>
      </c>
      <c r="C37" s="727" t="s">
        <v>34</v>
      </c>
      <c r="D37" s="792">
        <v>0.25</v>
      </c>
      <c r="E37" s="392">
        <v>6255</v>
      </c>
      <c r="F37" s="392">
        <v>1563.75</v>
      </c>
      <c r="G37" s="392"/>
      <c r="H37" s="392">
        <v>390.94</v>
      </c>
      <c r="I37" s="453">
        <f>(F37+G37+H37)*60%</f>
        <v>1172.8140000000001</v>
      </c>
      <c r="J37" s="453">
        <f>F37+G37+H37+I37</f>
        <v>3127.5039999999999</v>
      </c>
      <c r="K37" s="375">
        <f t="shared" si="8"/>
        <v>18765.023999999998</v>
      </c>
      <c r="L37" s="455"/>
    </row>
    <row r="38" spans="1:25" ht="60" hidden="1" customHeight="1">
      <c r="A38" s="1413"/>
      <c r="B38" s="726"/>
      <c r="C38" s="727" t="s">
        <v>34</v>
      </c>
      <c r="D38" s="793"/>
      <c r="E38" s="377"/>
      <c r="F38" s="377"/>
      <c r="G38" s="377"/>
      <c r="H38" s="377"/>
      <c r="I38" s="453"/>
      <c r="J38" s="453"/>
      <c r="K38" s="375">
        <f t="shared" si="8"/>
        <v>0</v>
      </c>
      <c r="L38" s="455"/>
    </row>
    <row r="39" spans="1:25" ht="36" customHeight="1" thickBot="1">
      <c r="A39" s="1428"/>
      <c r="B39" s="726" t="s">
        <v>44</v>
      </c>
      <c r="C39" s="727" t="s">
        <v>42</v>
      </c>
      <c r="D39" s="793">
        <v>0.125</v>
      </c>
      <c r="E39" s="377">
        <v>6255</v>
      </c>
      <c r="F39" s="377">
        <v>781.88</v>
      </c>
      <c r="G39" s="377">
        <v>195.47</v>
      </c>
      <c r="H39" s="377"/>
      <c r="I39" s="453">
        <f>(F39+G39+H39)*60%</f>
        <v>586.41</v>
      </c>
      <c r="J39" s="453">
        <f>F39+G39+H39+I39</f>
        <v>1563.76</v>
      </c>
      <c r="K39" s="375">
        <f t="shared" si="8"/>
        <v>9382.56</v>
      </c>
    </row>
    <row r="40" spans="1:25" ht="60" hidden="1" customHeight="1">
      <c r="A40" s="1428"/>
      <c r="B40" s="726" t="s">
        <v>175</v>
      </c>
      <c r="C40" s="727" t="s">
        <v>29</v>
      </c>
      <c r="D40" s="393"/>
      <c r="E40" s="377"/>
      <c r="F40" s="377"/>
      <c r="G40" s="377"/>
      <c r="H40" s="377"/>
      <c r="I40" s="377"/>
      <c r="J40" s="377"/>
      <c r="K40" s="468"/>
    </row>
    <row r="41" spans="1:25" ht="60" hidden="1" customHeight="1">
      <c r="A41" s="1428"/>
      <c r="B41" s="726" t="s">
        <v>176</v>
      </c>
      <c r="C41" s="727" t="s">
        <v>29</v>
      </c>
      <c r="D41" s="469"/>
      <c r="E41" s="371"/>
      <c r="F41" s="371"/>
      <c r="G41" s="371"/>
      <c r="H41" s="371"/>
      <c r="I41" s="377"/>
      <c r="J41" s="377"/>
      <c r="K41" s="375"/>
    </row>
    <row r="42" spans="1:25" ht="60" hidden="1" customHeight="1">
      <c r="A42" s="1428"/>
      <c r="B42" s="726" t="s">
        <v>40</v>
      </c>
      <c r="C42" s="727" t="s">
        <v>34</v>
      </c>
      <c r="D42" s="469"/>
      <c r="E42" s="371"/>
      <c r="F42" s="371"/>
      <c r="G42" s="371"/>
      <c r="H42" s="371"/>
      <c r="I42" s="371"/>
      <c r="J42" s="371"/>
      <c r="K42" s="468"/>
    </row>
    <row r="43" spans="1:25" ht="60" hidden="1" customHeight="1">
      <c r="A43" s="1428"/>
      <c r="B43" s="726" t="s">
        <v>178</v>
      </c>
      <c r="C43" s="727" t="s">
        <v>36</v>
      </c>
      <c r="D43" s="469"/>
      <c r="E43" s="371"/>
      <c r="F43" s="371"/>
      <c r="G43" s="371"/>
      <c r="H43" s="371"/>
      <c r="I43" s="371"/>
      <c r="J43" s="371"/>
      <c r="K43" s="468"/>
    </row>
    <row r="44" spans="1:25" ht="60.75" hidden="1" customHeight="1" thickBot="1">
      <c r="A44" s="1429"/>
      <c r="B44" s="726" t="s">
        <v>177</v>
      </c>
      <c r="C44" s="727" t="s">
        <v>42</v>
      </c>
      <c r="D44" s="469"/>
      <c r="E44" s="374"/>
      <c r="F44" s="471"/>
      <c r="G44" s="471"/>
      <c r="H44" s="471"/>
      <c r="I44" s="471"/>
      <c r="J44" s="471"/>
      <c r="K44" s="468"/>
    </row>
    <row r="45" spans="1:25" ht="24" customHeight="1" thickBot="1">
      <c r="A45" s="472"/>
      <c r="B45" s="456"/>
      <c r="C45" s="473"/>
      <c r="D45" s="794">
        <f>SUM(D36:D44)</f>
        <v>1.375</v>
      </c>
      <c r="E45" s="794">
        <f t="shared" ref="E45:K45" si="9">SUM(E36:E44)</f>
        <v>19681</v>
      </c>
      <c r="F45" s="794">
        <f t="shared" si="9"/>
        <v>9516.6299999999992</v>
      </c>
      <c r="G45" s="794">
        <f t="shared" si="9"/>
        <v>1988.22</v>
      </c>
      <c r="H45" s="794">
        <f t="shared" si="9"/>
        <v>2184.9899999999998</v>
      </c>
      <c r="I45" s="794">
        <f t="shared" si="9"/>
        <v>8213.9040000000005</v>
      </c>
      <c r="J45" s="794">
        <f t="shared" si="9"/>
        <v>21903.743999999999</v>
      </c>
      <c r="K45" s="794">
        <f t="shared" si="9"/>
        <v>131422.46400000001</v>
      </c>
      <c r="L45" s="455"/>
      <c r="W45" s="476"/>
    </row>
    <row r="46" spans="1:25" ht="28.5" customHeight="1">
      <c r="A46" s="477"/>
      <c r="B46" s="734" t="s">
        <v>172</v>
      </c>
      <c r="C46" s="728"/>
      <c r="D46" s="480"/>
      <c r="E46" s="480"/>
      <c r="F46" s="480"/>
      <c r="G46" s="480"/>
      <c r="H46" s="480"/>
      <c r="I46" s="480"/>
      <c r="J46" s="481">
        <v>4340.3599999999997</v>
      </c>
      <c r="K46" s="375">
        <f>J46*6</f>
        <v>26042.159999999996</v>
      </c>
      <c r="L46" s="455"/>
    </row>
    <row r="47" spans="1:25" ht="27" customHeight="1" thickBot="1">
      <c r="A47" s="482"/>
      <c r="B47" s="735" t="s">
        <v>171</v>
      </c>
      <c r="C47" s="483"/>
      <c r="D47" s="484"/>
      <c r="E47" s="387"/>
      <c r="F47" s="387"/>
      <c r="G47" s="387"/>
      <c r="H47" s="387"/>
      <c r="I47" s="387"/>
      <c r="J47" s="485">
        <v>35367.379999999997</v>
      </c>
      <c r="K47" s="375">
        <f>J47*6</f>
        <v>212204.27999999997</v>
      </c>
      <c r="L47" s="461"/>
      <c r="O47" s="476"/>
      <c r="R47" s="767">
        <f>K48-R48</f>
        <v>-235963.47600000002</v>
      </c>
      <c r="V47" s="476"/>
      <c r="X47" s="796">
        <f>J48-J46</f>
        <v>57271.123999999996</v>
      </c>
    </row>
    <row r="48" spans="1:25" ht="39" thickBot="1">
      <c r="A48" s="486"/>
      <c r="B48" s="731" t="s">
        <v>148</v>
      </c>
      <c r="C48" s="473"/>
      <c r="D48" s="795">
        <f>D45+D46+D47</f>
        <v>1.375</v>
      </c>
      <c r="E48" s="488">
        <f t="shared" ref="E48:K48" si="10">E45+E46+E47</f>
        <v>19681</v>
      </c>
      <c r="F48" s="488">
        <f t="shared" si="10"/>
        <v>9516.6299999999992</v>
      </c>
      <c r="G48" s="488">
        <f t="shared" si="10"/>
        <v>1988.22</v>
      </c>
      <c r="H48" s="488">
        <f t="shared" si="10"/>
        <v>2184.9899999999998</v>
      </c>
      <c r="I48" s="488">
        <f t="shared" si="10"/>
        <v>8213.9040000000005</v>
      </c>
      <c r="J48" s="488">
        <f>J45+J46+J47</f>
        <v>61611.483999999997</v>
      </c>
      <c r="K48" s="488">
        <f t="shared" si="10"/>
        <v>369668.90399999998</v>
      </c>
      <c r="M48" s="461"/>
      <c r="R48" s="753">
        <v>605632.38</v>
      </c>
      <c r="S48" s="767">
        <f>R48/12</f>
        <v>50469.364999999998</v>
      </c>
      <c r="W48" s="476">
        <f>(K48-K46)/6</f>
        <v>57271.124000000003</v>
      </c>
      <c r="X48" s="705">
        <f>W48*12</f>
        <v>687253.48800000001</v>
      </c>
      <c r="Y48" s="767">
        <f>K46+X48+'нов сад'!K46+'нов сад'!AF48</f>
        <v>26382436.343999993</v>
      </c>
    </row>
    <row r="49" spans="1:30" ht="15" customHeight="1">
      <c r="A49" s="1416" t="s">
        <v>81</v>
      </c>
      <c r="B49" s="734"/>
      <c r="C49" s="1300" t="s">
        <v>80</v>
      </c>
      <c r="D49" s="1301"/>
      <c r="E49" s="1301"/>
      <c r="F49" s="1301"/>
      <c r="G49" s="1301"/>
      <c r="H49" s="1301"/>
      <c r="I49" s="1301"/>
      <c r="J49" s="1301"/>
      <c r="K49" s="1301"/>
      <c r="L49" s="455"/>
      <c r="M49" s="455"/>
      <c r="N49" s="455"/>
    </row>
    <row r="50" spans="1:30" ht="15" hidden="1" customHeight="1">
      <c r="A50" s="1302"/>
      <c r="B50" s="862" t="s">
        <v>95</v>
      </c>
      <c r="C50" s="1430" t="s">
        <v>83</v>
      </c>
      <c r="D50" s="843"/>
      <c r="E50" s="844"/>
      <c r="F50" s="844">
        <v>0</v>
      </c>
      <c r="G50" s="844"/>
      <c r="H50" s="844">
        <v>0</v>
      </c>
      <c r="I50" s="845">
        <v>0</v>
      </c>
      <c r="J50" s="845">
        <v>0</v>
      </c>
      <c r="K50" s="852">
        <v>0</v>
      </c>
    </row>
    <row r="51" spans="1:30" ht="15" hidden="1" customHeight="1">
      <c r="A51" s="1302"/>
      <c r="B51" s="862" t="s">
        <v>93</v>
      </c>
      <c r="C51" s="1431"/>
      <c r="D51" s="855"/>
      <c r="E51" s="851"/>
      <c r="F51" s="844"/>
      <c r="G51" s="852"/>
      <c r="H51" s="848"/>
      <c r="I51" s="845"/>
      <c r="J51" s="845"/>
      <c r="K51" s="852"/>
      <c r="L51" s="455"/>
      <c r="M51" s="455"/>
      <c r="N51" s="455"/>
    </row>
    <row r="52" spans="1:30">
      <c r="A52" s="1302"/>
      <c r="B52" s="862" t="s">
        <v>93</v>
      </c>
      <c r="C52" s="1431"/>
      <c r="D52" s="847">
        <v>1</v>
      </c>
      <c r="E52" s="848">
        <v>3275</v>
      </c>
      <c r="F52" s="844">
        <f>D52*E52</f>
        <v>3275</v>
      </c>
      <c r="G52" s="848">
        <v>393</v>
      </c>
      <c r="H52" s="848">
        <v>818.75</v>
      </c>
      <c r="I52" s="863">
        <f>(F52+G52+H52)*60%</f>
        <v>2692.0499999999997</v>
      </c>
      <c r="J52" s="863">
        <f>F52+G52+H52+I52</f>
        <v>7178.7999999999993</v>
      </c>
      <c r="K52" s="846">
        <f>J52*6</f>
        <v>43072.799999999996</v>
      </c>
    </row>
    <row r="53" spans="1:30" ht="36" hidden="1" customHeight="1">
      <c r="A53" s="1302"/>
      <c r="B53" s="862" t="s">
        <v>186</v>
      </c>
      <c r="C53" s="1431"/>
      <c r="D53" s="850"/>
      <c r="E53" s="851"/>
      <c r="F53" s="844"/>
      <c r="G53" s="852"/>
      <c r="H53" s="852"/>
      <c r="I53" s="845"/>
      <c r="J53" s="849"/>
      <c r="K53" s="846">
        <f t="shared" ref="K53:K61" si="11">J53*6</f>
        <v>0</v>
      </c>
      <c r="L53" s="455"/>
      <c r="M53" s="455"/>
      <c r="N53" s="455"/>
    </row>
    <row r="54" spans="1:30" ht="15" hidden="1" customHeight="1">
      <c r="A54" s="1302"/>
      <c r="B54" s="862" t="s">
        <v>87</v>
      </c>
      <c r="C54" s="1431"/>
      <c r="D54" s="850"/>
      <c r="E54" s="856"/>
      <c r="F54" s="854"/>
      <c r="G54" s="857"/>
      <c r="H54" s="857"/>
      <c r="I54" s="856"/>
      <c r="J54" s="856"/>
      <c r="K54" s="846">
        <f t="shared" si="11"/>
        <v>0</v>
      </c>
    </row>
    <row r="55" spans="1:30" ht="37.5" customHeight="1">
      <c r="A55" s="1302"/>
      <c r="B55" s="862" t="s">
        <v>361</v>
      </c>
      <c r="C55" s="1431"/>
      <c r="D55" s="858">
        <v>0.25</v>
      </c>
      <c r="E55" s="859">
        <v>3275</v>
      </c>
      <c r="F55" s="844">
        <f>D55*E55</f>
        <v>818.75</v>
      </c>
      <c r="G55" s="848">
        <v>32.75</v>
      </c>
      <c r="H55" s="848">
        <v>40.94</v>
      </c>
      <c r="I55" s="863">
        <f>(F55+G55+H55)*60%</f>
        <v>535.46400000000006</v>
      </c>
      <c r="J55" s="863">
        <f>F55+G55+H55+I55</f>
        <v>1427.904</v>
      </c>
      <c r="K55" s="846">
        <f t="shared" si="11"/>
        <v>8567.4239999999991</v>
      </c>
      <c r="L55" s="455"/>
      <c r="M55" s="455"/>
      <c r="N55" s="455"/>
      <c r="AD55" s="455"/>
    </row>
    <row r="56" spans="1:30" ht="15" hidden="1" customHeight="1">
      <c r="A56" s="1302"/>
      <c r="B56" s="862" t="s">
        <v>180</v>
      </c>
      <c r="C56" s="1431"/>
      <c r="D56" s="847"/>
      <c r="E56" s="857"/>
      <c r="F56" s="854"/>
      <c r="G56" s="857"/>
      <c r="H56" s="857"/>
      <c r="I56" s="856"/>
      <c r="J56" s="856"/>
      <c r="K56" s="846">
        <f t="shared" si="11"/>
        <v>0</v>
      </c>
      <c r="AD56" s="455"/>
    </row>
    <row r="57" spans="1:30" ht="24" hidden="1" customHeight="1">
      <c r="A57" s="1302"/>
      <c r="B57" s="862" t="s">
        <v>85</v>
      </c>
      <c r="C57" s="1431"/>
      <c r="D57" s="847"/>
      <c r="E57" s="853"/>
      <c r="F57" s="854"/>
      <c r="G57" s="846"/>
      <c r="H57" s="846"/>
      <c r="I57" s="849"/>
      <c r="J57" s="849"/>
      <c r="K57" s="846">
        <f t="shared" si="11"/>
        <v>0</v>
      </c>
      <c r="L57" s="455"/>
      <c r="M57" s="455"/>
      <c r="N57" s="455"/>
      <c r="AD57" s="455"/>
    </row>
    <row r="58" spans="1:30" ht="36" hidden="1" customHeight="1">
      <c r="A58" s="1302"/>
      <c r="B58" s="862" t="s">
        <v>181</v>
      </c>
      <c r="C58" s="1431"/>
      <c r="D58" s="858"/>
      <c r="E58" s="857"/>
      <c r="F58" s="854"/>
      <c r="G58" s="857"/>
      <c r="H58" s="857"/>
      <c r="I58" s="856"/>
      <c r="J58" s="856"/>
      <c r="K58" s="846">
        <f t="shared" si="11"/>
        <v>0</v>
      </c>
      <c r="L58" s="455"/>
      <c r="M58" s="455"/>
      <c r="N58" s="455"/>
      <c r="AD58" s="455"/>
    </row>
    <row r="59" spans="1:30" ht="21.75" customHeight="1">
      <c r="A59" s="1302"/>
      <c r="B59" s="862" t="s">
        <v>88</v>
      </c>
      <c r="C59" s="1431"/>
      <c r="D59" s="850">
        <v>1</v>
      </c>
      <c r="E59" s="857">
        <v>3275</v>
      </c>
      <c r="F59" s="844">
        <f>D59*E59</f>
        <v>3275</v>
      </c>
      <c r="G59" s="848"/>
      <c r="H59" s="848">
        <v>491.25</v>
      </c>
      <c r="I59" s="863">
        <f>(F59+G59+H59)*60%</f>
        <v>2259.75</v>
      </c>
      <c r="J59" s="863">
        <f>F59+G59+H59+I59</f>
        <v>6026</v>
      </c>
      <c r="K59" s="846">
        <f t="shared" si="11"/>
        <v>36156</v>
      </c>
      <c r="L59" s="455"/>
      <c r="M59" s="455"/>
      <c r="N59" s="455"/>
      <c r="AD59" s="455"/>
    </row>
    <row r="60" spans="1:30" ht="2.25" hidden="1" customHeight="1">
      <c r="A60" s="1302"/>
      <c r="B60" s="862" t="s">
        <v>88</v>
      </c>
      <c r="C60" s="850" t="s">
        <v>90</v>
      </c>
      <c r="D60" s="860"/>
      <c r="E60" s="861"/>
      <c r="F60" s="844">
        <f>D60*E60</f>
        <v>0</v>
      </c>
      <c r="G60" s="857"/>
      <c r="H60" s="857"/>
      <c r="I60" s="863">
        <f>(F60+G60+H60)*60%</f>
        <v>0</v>
      </c>
      <c r="J60" s="863">
        <f>F60+G60+H60+I60</f>
        <v>0</v>
      </c>
      <c r="K60" s="846">
        <f t="shared" si="11"/>
        <v>0</v>
      </c>
      <c r="L60" s="455"/>
    </row>
    <row r="61" spans="1:30" ht="35.25" customHeight="1" thickBot="1">
      <c r="A61" s="1417"/>
      <c r="B61" s="864" t="s">
        <v>182</v>
      </c>
      <c r="C61" s="865" t="s">
        <v>92</v>
      </c>
      <c r="D61" s="865">
        <v>4</v>
      </c>
      <c r="E61" s="866">
        <v>3275</v>
      </c>
      <c r="F61" s="844">
        <f>D61*E61</f>
        <v>13100</v>
      </c>
      <c r="G61" s="852">
        <f>F61/120*120*35%</f>
        <v>4585</v>
      </c>
      <c r="H61" s="867">
        <f>F61*25%</f>
        <v>3275</v>
      </c>
      <c r="I61" s="863">
        <f>(F61+G61+H61)*60%</f>
        <v>12576</v>
      </c>
      <c r="J61" s="863">
        <f>F61+G61+H61+I61</f>
        <v>33536</v>
      </c>
      <c r="K61" s="846">
        <f t="shared" si="11"/>
        <v>201216</v>
      </c>
    </row>
    <row r="62" spans="1:30" ht="13.5" thickBot="1">
      <c r="A62" s="456"/>
      <c r="B62" s="868" t="s">
        <v>68</v>
      </c>
      <c r="C62" s="869"/>
      <c r="D62" s="870">
        <f>SUM(D52:D61)</f>
        <v>6.25</v>
      </c>
      <c r="E62" s="870">
        <f t="shared" ref="E62:K62" si="12">SUM(E52:E61)</f>
        <v>13100</v>
      </c>
      <c r="F62" s="870">
        <f t="shared" si="12"/>
        <v>20468.75</v>
      </c>
      <c r="G62" s="870">
        <f t="shared" si="12"/>
        <v>5010.75</v>
      </c>
      <c r="H62" s="870">
        <f t="shared" si="12"/>
        <v>4625.9400000000005</v>
      </c>
      <c r="I62" s="870">
        <f t="shared" si="12"/>
        <v>18063.263999999999</v>
      </c>
      <c r="J62" s="870">
        <f>SUM(J52:J61)</f>
        <v>48168.703999999998</v>
      </c>
      <c r="K62" s="870">
        <f t="shared" si="12"/>
        <v>289012.22399999999</v>
      </c>
      <c r="Q62" s="796">
        <f>K52+K55+K59+K61</f>
        <v>289012.22399999999</v>
      </c>
    </row>
    <row r="63" spans="1:30" ht="25.5" customHeight="1">
      <c r="A63" s="733"/>
      <c r="B63" s="871" t="s">
        <v>56</v>
      </c>
      <c r="C63" s="872"/>
      <c r="D63" s="873"/>
      <c r="E63" s="874"/>
      <c r="F63" s="874"/>
      <c r="G63" s="874"/>
      <c r="H63" s="874"/>
      <c r="I63" s="874"/>
      <c r="J63" s="874">
        <f>J62*15%</f>
        <v>7225.3055999999997</v>
      </c>
      <c r="K63" s="846">
        <f>J63*6</f>
        <v>43351.833599999998</v>
      </c>
      <c r="AD63" s="455"/>
    </row>
    <row r="64" spans="1:30" ht="49.5" customHeight="1" thickBot="1">
      <c r="A64" s="726"/>
      <c r="B64" s="875" t="s">
        <v>78</v>
      </c>
      <c r="C64" s="850"/>
      <c r="D64" s="876"/>
      <c r="E64" s="877"/>
      <c r="F64" s="877"/>
      <c r="G64" s="877"/>
      <c r="H64" s="877"/>
      <c r="I64" s="877"/>
      <c r="J64" s="858">
        <v>97399.74</v>
      </c>
      <c r="K64" s="846">
        <f t="shared" ref="K64:K65" si="13">J64*6</f>
        <v>584398.44000000006</v>
      </c>
      <c r="W64" s="796">
        <f>J62+J63</f>
        <v>55394.009599999998</v>
      </c>
    </row>
    <row r="65" spans="1:26" ht="26.25" hidden="1" thickBot="1">
      <c r="A65" s="735"/>
      <c r="B65" s="878" t="s">
        <v>172</v>
      </c>
      <c r="C65" s="865"/>
      <c r="D65" s="879"/>
      <c r="E65" s="880"/>
      <c r="F65" s="880"/>
      <c r="G65" s="880"/>
      <c r="H65" s="880"/>
      <c r="I65" s="880"/>
      <c r="J65" s="880"/>
      <c r="K65" s="846">
        <f t="shared" si="13"/>
        <v>0</v>
      </c>
    </row>
    <row r="66" spans="1:26" ht="26.25" customHeight="1" thickBot="1">
      <c r="A66" s="797"/>
      <c r="B66" s="683" t="s">
        <v>103</v>
      </c>
      <c r="C66" s="457"/>
      <c r="D66" s="463">
        <f>D62+D63+D64+D65</f>
        <v>6.25</v>
      </c>
      <c r="E66" s="463">
        <f t="shared" ref="E66:K66" si="14">E62+E63+E64+E65</f>
        <v>13100</v>
      </c>
      <c r="F66" s="463">
        <f t="shared" si="14"/>
        <v>20468.75</v>
      </c>
      <c r="G66" s="463">
        <f t="shared" si="14"/>
        <v>5010.75</v>
      </c>
      <c r="H66" s="463">
        <f t="shared" si="14"/>
        <v>4625.9400000000005</v>
      </c>
      <c r="I66" s="463">
        <f t="shared" si="14"/>
        <v>18063.263999999999</v>
      </c>
      <c r="J66" s="463">
        <f>J62+J63+J64+J65</f>
        <v>152793.74960000001</v>
      </c>
      <c r="K66" s="463">
        <f t="shared" si="14"/>
        <v>916762.49760000012</v>
      </c>
      <c r="Q66" s="796">
        <f>K56+K59+K63+K65+K64+K62</f>
        <v>952918.49760000012</v>
      </c>
      <c r="W66" s="796">
        <f>K66+'нов сад'!K66</f>
        <v>7370770.4928000011</v>
      </c>
    </row>
    <row r="67" spans="1:26" ht="13.5" thickBot="1">
      <c r="B67" s="515" t="s">
        <v>149</v>
      </c>
      <c r="C67" s="516"/>
      <c r="D67" s="798">
        <f>D33+D48+D66</f>
        <v>9.625</v>
      </c>
      <c r="E67" s="517">
        <f t="shared" ref="E67:K67" si="15">E33+E48+E66</f>
        <v>47640</v>
      </c>
      <c r="F67" s="517">
        <f t="shared" si="15"/>
        <v>44844.38</v>
      </c>
      <c r="G67" s="517">
        <f t="shared" si="15"/>
        <v>9637.4700000000012</v>
      </c>
      <c r="H67" s="517">
        <f t="shared" si="15"/>
        <v>10095.18</v>
      </c>
      <c r="I67" s="517">
        <f t="shared" si="15"/>
        <v>38746.217999999993</v>
      </c>
      <c r="J67" s="517">
        <f t="shared" si="15"/>
        <v>270831.99359999999</v>
      </c>
      <c r="K67" s="517">
        <f t="shared" si="15"/>
        <v>1624991.9616</v>
      </c>
      <c r="U67" s="753">
        <f>J67*12</f>
        <v>3249983.9232000001</v>
      </c>
    </row>
    <row r="69" spans="1:26">
      <c r="B69" s="518" t="s">
        <v>99</v>
      </c>
      <c r="H69" s="518" t="s">
        <v>127</v>
      </c>
      <c r="K69" s="519"/>
    </row>
    <row r="70" spans="1:26">
      <c r="J70" s="520"/>
    </row>
    <row r="71" spans="1:26">
      <c r="D71" s="461"/>
    </row>
    <row r="72" spans="1:26" ht="21" customHeight="1">
      <c r="A72" s="1304" t="s">
        <v>151</v>
      </c>
      <c r="B72" s="1305"/>
      <c r="C72" s="1305"/>
      <c r="D72" s="469">
        <f>D33</f>
        <v>2</v>
      </c>
      <c r="E72" s="469">
        <f t="shared" ref="E72:K72" si="16">E33</f>
        <v>14859</v>
      </c>
      <c r="F72" s="469">
        <f t="shared" si="16"/>
        <v>14859</v>
      </c>
      <c r="G72" s="469">
        <f t="shared" si="16"/>
        <v>2638.5</v>
      </c>
      <c r="H72" s="469">
        <f t="shared" si="16"/>
        <v>3284.25</v>
      </c>
      <c r="I72" s="469">
        <f t="shared" si="16"/>
        <v>12469.05</v>
      </c>
      <c r="J72" s="469">
        <f t="shared" si="16"/>
        <v>56426.759999999995</v>
      </c>
      <c r="K72" s="469">
        <f t="shared" si="16"/>
        <v>338560.55999999994</v>
      </c>
      <c r="W72" s="476"/>
      <c r="X72" s="476"/>
      <c r="Y72" s="455"/>
      <c r="Z72" s="476"/>
    </row>
    <row r="73" spans="1:26" ht="33.75" customHeight="1">
      <c r="A73" s="1348" t="s">
        <v>153</v>
      </c>
      <c r="B73" s="1411"/>
      <c r="C73" s="521"/>
      <c r="D73" s="793">
        <f>D48</f>
        <v>1.375</v>
      </c>
      <c r="E73" s="793">
        <f t="shared" ref="E73:K73" si="17">E48</f>
        <v>19681</v>
      </c>
      <c r="F73" s="793">
        <f t="shared" si="17"/>
        <v>9516.6299999999992</v>
      </c>
      <c r="G73" s="793">
        <f t="shared" si="17"/>
        <v>1988.22</v>
      </c>
      <c r="H73" s="793">
        <f t="shared" si="17"/>
        <v>2184.9899999999998</v>
      </c>
      <c r="I73" s="793">
        <f t="shared" si="17"/>
        <v>8213.9040000000005</v>
      </c>
      <c r="J73" s="793">
        <f t="shared" si="17"/>
        <v>61611.483999999997</v>
      </c>
      <c r="K73" s="793">
        <f t="shared" si="17"/>
        <v>369668.90399999998</v>
      </c>
      <c r="P73" s="476"/>
    </row>
    <row r="74" spans="1:26" ht="23.25" customHeight="1">
      <c r="A74" s="1293" t="s">
        <v>152</v>
      </c>
      <c r="B74" s="1294"/>
      <c r="C74" s="1294"/>
      <c r="D74" s="522" t="s">
        <v>350</v>
      </c>
      <c r="E74" s="522">
        <f t="shared" ref="E74:K74" si="18">E66</f>
        <v>13100</v>
      </c>
      <c r="F74" s="522">
        <f t="shared" si="18"/>
        <v>20468.75</v>
      </c>
      <c r="G74" s="522">
        <f t="shared" si="18"/>
        <v>5010.75</v>
      </c>
      <c r="H74" s="522">
        <f t="shared" si="18"/>
        <v>4625.9400000000005</v>
      </c>
      <c r="I74" s="522">
        <f t="shared" si="18"/>
        <v>18063.263999999999</v>
      </c>
      <c r="J74" s="522">
        <f t="shared" si="18"/>
        <v>152793.74960000001</v>
      </c>
      <c r="K74" s="522">
        <f t="shared" si="18"/>
        <v>916762.49760000012</v>
      </c>
    </row>
    <row r="75" spans="1:26">
      <c r="D75" s="799">
        <f>SUM(D72:D74)</f>
        <v>3.375</v>
      </c>
      <c r="E75" s="799">
        <f t="shared" ref="E75:L75" si="19">SUM(E72:E74)</f>
        <v>47640</v>
      </c>
      <c r="F75" s="799">
        <f t="shared" si="19"/>
        <v>44844.38</v>
      </c>
      <c r="G75" s="799">
        <f t="shared" si="19"/>
        <v>9637.4700000000012</v>
      </c>
      <c r="H75" s="799">
        <f t="shared" si="19"/>
        <v>10095.18</v>
      </c>
      <c r="I75" s="799">
        <f t="shared" si="19"/>
        <v>38746.217999999993</v>
      </c>
      <c r="J75" s="799">
        <f t="shared" si="19"/>
        <v>270831.99359999999</v>
      </c>
      <c r="K75" s="799">
        <f t="shared" si="19"/>
        <v>1624991.9616</v>
      </c>
      <c r="L75" s="799">
        <f t="shared" si="19"/>
        <v>0</v>
      </c>
    </row>
    <row r="76" spans="1:26">
      <c r="J76" s="461"/>
    </row>
    <row r="77" spans="1:26">
      <c r="J77" s="461"/>
    </row>
    <row r="78" spans="1:26">
      <c r="J78" s="461"/>
    </row>
    <row r="80" spans="1:26">
      <c r="J80" s="461"/>
    </row>
  </sheetData>
  <mergeCells count="30">
    <mergeCell ref="A7:K7"/>
    <mergeCell ref="I1:K1"/>
    <mergeCell ref="BP1:CG1"/>
    <mergeCell ref="BR4:CG4"/>
    <mergeCell ref="BR5:CG5"/>
    <mergeCell ref="A6:K6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G16:H16"/>
    <mergeCell ref="I16:I17"/>
    <mergeCell ref="J16:J17"/>
    <mergeCell ref="K16:K17"/>
    <mergeCell ref="B18:K18"/>
    <mergeCell ref="A73:B73"/>
    <mergeCell ref="A19:A33"/>
    <mergeCell ref="A74:C74"/>
    <mergeCell ref="A34:A44"/>
    <mergeCell ref="B34:K34"/>
    <mergeCell ref="A49:A61"/>
    <mergeCell ref="C49:K49"/>
    <mergeCell ref="C50:C59"/>
    <mergeCell ref="A72:C7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J87"/>
  <sheetViews>
    <sheetView topLeftCell="A54" workbookViewId="0">
      <selection activeCell="J47" sqref="J47"/>
    </sheetView>
  </sheetViews>
  <sheetFormatPr defaultRowHeight="12"/>
  <cols>
    <col min="1" max="1" width="18.140625" style="1" customWidth="1"/>
    <col min="2" max="2" width="21.28515625" style="1" customWidth="1"/>
    <col min="3" max="3" width="6.42578125" style="1" hidden="1" customWidth="1"/>
    <col min="4" max="4" width="9.28515625" style="1" customWidth="1"/>
    <col min="5" max="5" width="11.42578125" style="1" customWidth="1"/>
    <col min="6" max="6" width="12.140625" style="1" customWidth="1"/>
    <col min="7" max="7" width="10.5703125" style="1" customWidth="1"/>
    <col min="8" max="8" width="11.7109375" style="1" customWidth="1"/>
    <col min="9" max="9" width="13.28515625" style="1" customWidth="1"/>
    <col min="10" max="10" width="13.5703125" style="1" customWidth="1"/>
    <col min="11" max="11" width="14.7109375" style="1" customWidth="1"/>
    <col min="12" max="12" width="15.28515625" style="1" hidden="1" customWidth="1"/>
    <col min="13" max="13" width="13.28515625" style="1" hidden="1" customWidth="1"/>
    <col min="14" max="14" width="12.7109375" style="1" hidden="1" customWidth="1"/>
    <col min="15" max="15" width="9.140625" style="1" hidden="1" customWidth="1"/>
    <col min="16" max="16" width="5.140625" style="1" hidden="1" customWidth="1"/>
    <col min="17" max="17" width="2.5703125" style="1" hidden="1" customWidth="1"/>
    <col min="18" max="18" width="15.5703125" style="1" hidden="1" customWidth="1"/>
    <col min="19" max="19" width="16" style="1" hidden="1" customWidth="1"/>
    <col min="20" max="20" width="10.5703125" style="1" customWidth="1"/>
    <col min="21" max="21" width="9.140625" style="1" customWidth="1"/>
    <col min="22" max="22" width="11.7109375" style="1" customWidth="1"/>
    <col min="23" max="23" width="9.140625" style="1" customWidth="1"/>
    <col min="24" max="24" width="13" style="1" customWidth="1"/>
    <col min="25" max="25" width="12.42578125" style="1" customWidth="1"/>
    <col min="26" max="26" width="17.7109375" style="1" customWidth="1"/>
    <col min="27" max="27" width="12.28515625" style="1" customWidth="1"/>
    <col min="28" max="28" width="11" style="1" customWidth="1"/>
    <col min="29" max="29" width="12.28515625" style="1" customWidth="1"/>
    <col min="30" max="30" width="12.7109375" style="1" customWidth="1"/>
    <col min="31" max="31" width="15.140625" style="1" customWidth="1"/>
    <col min="32" max="32" width="11.85546875" style="1" customWidth="1"/>
    <col min="33" max="33" width="15" style="1" customWidth="1"/>
    <col min="34" max="34" width="14" style="1" customWidth="1"/>
    <col min="35" max="35" width="11.28515625" style="1" customWidth="1"/>
    <col min="36" max="36" width="12.42578125" style="1" customWidth="1"/>
    <col min="37" max="37" width="9.140625" style="1" customWidth="1"/>
    <col min="38" max="38" width="12.28515625" style="1" customWidth="1"/>
    <col min="39" max="39" width="11.42578125" style="1" customWidth="1"/>
    <col min="40" max="40" width="12.7109375" style="1" customWidth="1"/>
    <col min="41" max="41" width="9.140625" style="1" customWidth="1"/>
    <col min="42" max="42" width="6.85546875" style="1" customWidth="1"/>
    <col min="43" max="43" width="4" style="1" customWidth="1"/>
    <col min="44" max="49" width="9.140625" style="1" customWidth="1"/>
    <col min="50" max="50" width="11.5703125" style="1" customWidth="1"/>
    <col min="51" max="53" width="9.140625" style="1" customWidth="1"/>
    <col min="54" max="54" width="7.28515625" style="1" customWidth="1"/>
    <col min="55" max="55" width="9.140625" style="1" customWidth="1"/>
    <col min="56" max="56" width="9.140625" style="1"/>
    <col min="57" max="57" width="12" style="1" customWidth="1"/>
    <col min="58" max="58" width="9.140625" style="1"/>
    <col min="59" max="67" width="9.140625" style="1" customWidth="1"/>
    <col min="68" max="68" width="11.5703125" style="1" customWidth="1"/>
    <col min="69" max="69" width="9.140625" style="1"/>
    <col min="70" max="70" width="11.7109375" style="1" customWidth="1"/>
    <col min="71" max="71" width="2.5703125" style="1" customWidth="1"/>
    <col min="72" max="72" width="13" style="1" customWidth="1"/>
    <col min="73" max="73" width="12.42578125" style="1" customWidth="1"/>
    <col min="74" max="74" width="5.140625" style="1" customWidth="1"/>
    <col min="75" max="88" width="9.140625" style="1" customWidth="1"/>
    <col min="89" max="16384" width="9.140625" style="1"/>
  </cols>
  <sheetData>
    <row r="1" spans="1:88" ht="47.25" customHeight="1">
      <c r="A1" s="293"/>
      <c r="B1" s="293"/>
      <c r="C1" s="293"/>
      <c r="D1" s="293"/>
      <c r="E1" s="293"/>
      <c r="F1" s="293"/>
      <c r="G1" s="293"/>
      <c r="H1" s="293"/>
      <c r="I1" s="1284" t="s">
        <v>0</v>
      </c>
      <c r="J1" s="1285"/>
      <c r="K1" s="1285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1288"/>
      <c r="BT1" s="1288"/>
      <c r="BU1" s="1288"/>
      <c r="BV1" s="1288"/>
      <c r="BW1" s="1288"/>
      <c r="BX1" s="1288"/>
      <c r="BY1" s="1288"/>
      <c r="BZ1" s="1288"/>
      <c r="CA1" s="1288"/>
      <c r="CB1" s="1288"/>
      <c r="CC1" s="1288"/>
      <c r="CD1" s="1288"/>
      <c r="CE1" s="1288"/>
      <c r="CF1" s="1288"/>
      <c r="CG1" s="1288"/>
      <c r="CH1" s="1288"/>
      <c r="CI1" s="1288"/>
      <c r="CJ1" s="1288"/>
    </row>
    <row r="2" spans="1:88">
      <c r="F2" s="293" t="s">
        <v>2</v>
      </c>
      <c r="G2" s="293"/>
      <c r="H2" s="294" t="s">
        <v>1</v>
      </c>
    </row>
    <row r="3" spans="1:88">
      <c r="F3" s="293"/>
      <c r="G3" s="293"/>
      <c r="H3" s="294" t="s">
        <v>162</v>
      </c>
    </row>
    <row r="4" spans="1:88">
      <c r="A4" s="293"/>
      <c r="B4" s="293"/>
      <c r="C4" s="293"/>
      <c r="D4" s="293"/>
      <c r="E4" s="293"/>
      <c r="F4" s="293" t="s">
        <v>4</v>
      </c>
      <c r="G4" s="293"/>
      <c r="H4" s="294" t="s">
        <v>161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1289"/>
      <c r="BV4" s="1289"/>
      <c r="BW4" s="1289"/>
      <c r="BX4" s="1289"/>
      <c r="BY4" s="1289"/>
      <c r="BZ4" s="1289"/>
      <c r="CA4" s="1289"/>
      <c r="CB4" s="1289"/>
      <c r="CC4" s="1289"/>
      <c r="CD4" s="1289"/>
      <c r="CE4" s="1289"/>
      <c r="CF4" s="1289"/>
      <c r="CG4" s="1289"/>
      <c r="CH4" s="1289"/>
      <c r="CI4" s="1289"/>
      <c r="CJ4" s="1289"/>
    </row>
    <row r="5" spans="1:88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1289"/>
      <c r="BV5" s="1289"/>
      <c r="BW5" s="1289"/>
      <c r="BX5" s="1289"/>
      <c r="BY5" s="1289"/>
      <c r="BZ5" s="1289"/>
      <c r="CA5" s="1289"/>
      <c r="CB5" s="1289"/>
      <c r="CC5" s="1289"/>
      <c r="CD5" s="1289"/>
      <c r="CE5" s="1289"/>
      <c r="CF5" s="1289"/>
      <c r="CG5" s="1289"/>
      <c r="CH5" s="1289"/>
      <c r="CI5" s="1289"/>
      <c r="CJ5" s="1289"/>
    </row>
    <row r="6" spans="1:88" ht="24" customHeight="1">
      <c r="A6" s="1286" t="s">
        <v>163</v>
      </c>
      <c r="B6" s="1287"/>
      <c r="C6" s="1287"/>
      <c r="D6" s="1287"/>
      <c r="E6" s="1287"/>
      <c r="F6" s="1287"/>
      <c r="G6" s="1287"/>
      <c r="H6" s="1287"/>
      <c r="I6" s="1287"/>
      <c r="J6" s="1287"/>
      <c r="K6" s="1287"/>
    </row>
    <row r="7" spans="1:88" ht="21.75" customHeight="1">
      <c r="A7" s="1286" t="s">
        <v>164</v>
      </c>
      <c r="B7" s="1287"/>
      <c r="C7" s="1287"/>
      <c r="D7" s="1287"/>
      <c r="E7" s="1287"/>
      <c r="F7" s="1287"/>
      <c r="G7" s="1287"/>
      <c r="H7" s="1287"/>
      <c r="I7" s="1287"/>
      <c r="J7" s="1287"/>
      <c r="K7" s="1287"/>
    </row>
    <row r="8" spans="1:88" ht="32.25" customHeight="1">
      <c r="A8" s="889"/>
      <c r="B8" s="889"/>
      <c r="C8" s="890"/>
      <c r="D8" s="890"/>
      <c r="E8" s="890" t="s">
        <v>221</v>
      </c>
      <c r="F8" s="890"/>
      <c r="G8" s="890"/>
      <c r="H8" s="890"/>
      <c r="I8" s="889"/>
      <c r="J8" s="889"/>
      <c r="K8" s="889"/>
    </row>
    <row r="9" spans="1:88" ht="40.5" customHeight="1">
      <c r="A9" s="189"/>
      <c r="B9" s="189"/>
      <c r="C9" s="190"/>
      <c r="D9" s="190"/>
      <c r="E9" s="1283" t="s">
        <v>9</v>
      </c>
      <c r="F9" s="1283"/>
      <c r="G9" s="1283" t="s">
        <v>10</v>
      </c>
      <c r="H9" s="1283"/>
      <c r="I9" s="189"/>
      <c r="J9" s="189"/>
      <c r="K9" s="189"/>
    </row>
    <row r="10" spans="1:88">
      <c r="B10" s="269" t="s">
        <v>204</v>
      </c>
      <c r="C10" s="190"/>
      <c r="D10" s="190"/>
      <c r="E10" s="1283">
        <v>2</v>
      </c>
      <c r="F10" s="1283"/>
      <c r="G10" s="1292" t="s">
        <v>353</v>
      </c>
      <c r="H10" s="1283"/>
      <c r="I10" s="189" t="s">
        <v>12</v>
      </c>
      <c r="J10" s="189"/>
      <c r="K10" s="189"/>
    </row>
    <row r="11" spans="1:88" ht="24.75" customHeight="1">
      <c r="A11" s="189"/>
      <c r="B11" s="189"/>
      <c r="C11" s="190"/>
      <c r="D11" s="190"/>
      <c r="E11" s="190"/>
      <c r="F11" s="190"/>
      <c r="G11" s="190"/>
      <c r="H11" s="190"/>
      <c r="I11" s="190" t="s">
        <v>13</v>
      </c>
      <c r="J11" s="190"/>
      <c r="K11" s="190"/>
    </row>
    <row r="12" spans="1:88">
      <c r="A12" s="190"/>
      <c r="B12" s="295" t="s">
        <v>220</v>
      </c>
      <c r="C12" s="190"/>
      <c r="D12" s="190"/>
      <c r="E12" s="190"/>
      <c r="F12" s="190"/>
      <c r="G12" s="190"/>
      <c r="H12" s="190"/>
      <c r="I12" s="190" t="s">
        <v>14</v>
      </c>
      <c r="J12" s="193"/>
      <c r="K12" s="190"/>
    </row>
    <row r="13" spans="1:88">
      <c r="A13" s="190"/>
      <c r="B13" s="190"/>
      <c r="C13" s="190"/>
      <c r="D13" s="190"/>
      <c r="E13" s="190"/>
      <c r="F13" s="190"/>
      <c r="G13" s="190"/>
      <c r="H13" s="190"/>
      <c r="I13" s="190" t="s">
        <v>141</v>
      </c>
      <c r="J13" s="193">
        <f>J67</f>
        <v>2464825.6272</v>
      </c>
      <c r="K13" s="190"/>
    </row>
    <row r="14" spans="1:88" ht="24.75" customHeight="1">
      <c r="A14" s="190"/>
      <c r="B14" s="194" t="s">
        <v>174</v>
      </c>
      <c r="C14" s="190"/>
      <c r="D14" s="195">
        <f>'[1]нов сад'!D14-'[1]проточ ссап'!D14</f>
        <v>223</v>
      </c>
      <c r="E14" s="189"/>
      <c r="F14" s="189"/>
      <c r="G14" s="189"/>
      <c r="H14" s="190"/>
      <c r="I14" s="190" t="s">
        <v>15</v>
      </c>
      <c r="J14" s="190"/>
      <c r="K14" s="296">
        <f>D67</f>
        <v>78.474999999999994</v>
      </c>
    </row>
    <row r="15" spans="1:88">
      <c r="B15" s="196" t="s">
        <v>173</v>
      </c>
      <c r="D15" s="195">
        <f>'[1]нов сад'!D15-'[1]проточ ссап'!D15</f>
        <v>10</v>
      </c>
      <c r="E15" s="198"/>
      <c r="F15" s="198"/>
      <c r="G15" s="198"/>
      <c r="K15" s="199" t="s">
        <v>16</v>
      </c>
    </row>
    <row r="16" spans="1:88">
      <c r="A16" s="1283" t="s">
        <v>17</v>
      </c>
      <c r="B16" s="1283" t="s">
        <v>18</v>
      </c>
      <c r="C16" s="1283" t="s">
        <v>19</v>
      </c>
      <c r="D16" s="1283" t="s">
        <v>20</v>
      </c>
      <c r="E16" s="1283" t="s">
        <v>21</v>
      </c>
      <c r="F16" s="1283" t="s">
        <v>5</v>
      </c>
      <c r="G16" s="1283" t="s">
        <v>6</v>
      </c>
      <c r="H16" s="1283"/>
      <c r="I16" s="1283" t="s">
        <v>7</v>
      </c>
      <c r="J16" s="1283" t="s">
        <v>22</v>
      </c>
      <c r="K16" s="1283" t="s">
        <v>203</v>
      </c>
    </row>
    <row r="17" spans="1:19" ht="36">
      <c r="A17" s="1283"/>
      <c r="B17" s="1283"/>
      <c r="C17" s="1283"/>
      <c r="D17" s="1283"/>
      <c r="E17" s="1283"/>
      <c r="F17" s="1283"/>
      <c r="G17" s="413" t="s">
        <v>24</v>
      </c>
      <c r="H17" s="413" t="s">
        <v>25</v>
      </c>
      <c r="I17" s="1283"/>
      <c r="J17" s="1283"/>
      <c r="K17" s="1283"/>
    </row>
    <row r="18" spans="1:19" ht="12" customHeight="1">
      <c r="A18" s="200"/>
      <c r="B18" s="1277" t="s">
        <v>142</v>
      </c>
      <c r="C18" s="1278"/>
      <c r="D18" s="1278"/>
      <c r="E18" s="1278"/>
      <c r="F18" s="1278"/>
      <c r="G18" s="1278"/>
      <c r="H18" s="1278"/>
      <c r="I18" s="1278"/>
      <c r="J18" s="1278"/>
      <c r="K18" s="1278"/>
    </row>
    <row r="19" spans="1:19" ht="36" customHeight="1">
      <c r="A19" s="1279" t="s">
        <v>188</v>
      </c>
      <c r="B19" s="417" t="s">
        <v>165</v>
      </c>
      <c r="C19" s="419"/>
      <c r="D19" s="297">
        <f>'нов сад'!D19+'проточ ссап'!D19</f>
        <v>1</v>
      </c>
      <c r="E19" s="297">
        <f>'нов сад'!E19+'проточ ссап'!E19</f>
        <v>19736</v>
      </c>
      <c r="F19" s="297">
        <f>'нов сад'!F19+'проточ ссап'!F19</f>
        <v>19736</v>
      </c>
      <c r="G19" s="297">
        <f>'нов сад'!G19+'проточ ссап'!G19</f>
        <v>4934</v>
      </c>
      <c r="H19" s="297">
        <f>'нов сад'!H19+'проточ ссап'!H19</f>
        <v>6907.6</v>
      </c>
      <c r="I19" s="297">
        <f>'нов сад'!I19+'проточ ссап'!I19</f>
        <v>18946.559999999998</v>
      </c>
      <c r="J19" s="297">
        <f>'нов сад'!J19+'проточ ссап'!J19</f>
        <v>50524.159999999996</v>
      </c>
      <c r="K19" s="297">
        <f>'нов сад'!K19+'проточ ссап'!K19</f>
        <v>606289.91999999993</v>
      </c>
      <c r="S19" s="259">
        <f>J19*12</f>
        <v>606289.91999999993</v>
      </c>
    </row>
    <row r="20" spans="1:19" ht="24" customHeight="1">
      <c r="A20" s="1280"/>
      <c r="B20" s="417" t="s">
        <v>150</v>
      </c>
      <c r="C20" s="419"/>
      <c r="D20" s="297">
        <f>'нов сад'!D20+'проточ ссап'!D20</f>
        <v>1</v>
      </c>
      <c r="E20" s="297">
        <f>'нов сад'!E20+'проточ ссап'!E20</f>
        <v>10554</v>
      </c>
      <c r="F20" s="297">
        <f>'нов сад'!F20+'проточ ссап'!F20</f>
        <v>10554</v>
      </c>
      <c r="G20" s="297">
        <f>'нов сад'!G20+'проточ ссап'!G20</f>
        <v>2638.5</v>
      </c>
      <c r="H20" s="297">
        <f>'нов сад'!H20+'проточ ссап'!H20</f>
        <v>2638.5</v>
      </c>
      <c r="I20" s="297">
        <f>'нов сад'!I20+'проточ ссап'!I20</f>
        <v>9498.6</v>
      </c>
      <c r="J20" s="297">
        <f>'нов сад'!J20+'проточ ссап'!J20</f>
        <v>25329.599999999999</v>
      </c>
      <c r="K20" s="297">
        <f>'нов сад'!K20+'проточ ссап'!K20</f>
        <v>151977.59999999998</v>
      </c>
      <c r="S20" s="259">
        <f t="shared" ref="S20:S67" si="0">J20*12</f>
        <v>303955.19999999995</v>
      </c>
    </row>
    <row r="21" spans="1:19" ht="31.5" customHeight="1">
      <c r="A21" s="1281"/>
      <c r="B21" s="417" t="s">
        <v>166</v>
      </c>
      <c r="C21" s="419"/>
      <c r="D21" s="297">
        <f>'нов сад'!D21+'проточ ссап'!D21</f>
        <v>1</v>
      </c>
      <c r="E21" s="297">
        <f>'нов сад'!E21+'проточ ссап'!E21</f>
        <v>13815</v>
      </c>
      <c r="F21" s="297">
        <f>'нов сад'!F21+'проточ ссап'!F21</f>
        <v>13815</v>
      </c>
      <c r="G21" s="297">
        <f>'нов сад'!G21+'проточ ссап'!G21</f>
        <v>3453.75</v>
      </c>
      <c r="H21" s="297">
        <f>'нов сад'!H21+'проточ ссап'!H21</f>
        <v>4144.5</v>
      </c>
      <c r="I21" s="297">
        <f>'нов сад'!I21+'проточ ссап'!I21</f>
        <v>12847.949999999999</v>
      </c>
      <c r="J21" s="297">
        <f>'нов сад'!J21+'проточ ссап'!J21</f>
        <v>34261.199999999997</v>
      </c>
      <c r="K21" s="297">
        <f>'нов сад'!K21+'проточ ссап'!K21</f>
        <v>411134.39999999997</v>
      </c>
      <c r="S21" s="259">
        <f t="shared" si="0"/>
        <v>411134.39999999997</v>
      </c>
    </row>
    <row r="22" spans="1:19" ht="48">
      <c r="A22" s="1281"/>
      <c r="B22" s="418" t="s">
        <v>167</v>
      </c>
      <c r="C22" s="209"/>
      <c r="D22" s="297">
        <f>'нов сад'!D22+'проточ ссап'!D22</f>
        <v>1</v>
      </c>
      <c r="E22" s="297">
        <f>'нов сад'!E22+'проточ ссап'!E22</f>
        <v>13815</v>
      </c>
      <c r="F22" s="297">
        <f>'нов сад'!F22+'проточ ссап'!F22</f>
        <v>13815</v>
      </c>
      <c r="G22" s="297">
        <f>'нов сад'!G22+'проточ ссап'!G22</f>
        <v>3453.75</v>
      </c>
      <c r="H22" s="297">
        <f>'нов сад'!H22+'проточ ссап'!H22</f>
        <v>5526</v>
      </c>
      <c r="I22" s="297">
        <f>'нов сад'!I22+'проточ ссап'!I22</f>
        <v>13676.85</v>
      </c>
      <c r="J22" s="297">
        <f>'нов сад'!J22+'проточ ссап'!J22</f>
        <v>36471.599999999999</v>
      </c>
      <c r="K22" s="297">
        <f>'нов сад'!K22+'проточ ссап'!K22</f>
        <v>437659.19999999995</v>
      </c>
      <c r="S22" s="259">
        <f t="shared" si="0"/>
        <v>437659.19999999995</v>
      </c>
    </row>
    <row r="23" spans="1:19" ht="15" customHeight="1">
      <c r="A23" s="1281"/>
      <c r="B23" s="418" t="s">
        <v>168</v>
      </c>
      <c r="C23" s="209"/>
      <c r="D23" s="297">
        <f>'нов сад'!D23+'проточ ссап'!D23</f>
        <v>1</v>
      </c>
      <c r="E23" s="297">
        <f>'нов сад'!E23+'проточ ссап'!E23</f>
        <v>6742</v>
      </c>
      <c r="F23" s="297">
        <f>'нов сад'!F23+'проточ ссап'!F23</f>
        <v>6742</v>
      </c>
      <c r="G23" s="297">
        <f>'нов сад'!G23+'проточ ссап'!G23</f>
        <v>10113</v>
      </c>
      <c r="H23" s="297">
        <f>'нов сад'!H23+'проточ ссап'!H23</f>
        <v>0</v>
      </c>
      <c r="I23" s="297">
        <f>'нов сад'!I23+'проточ ссап'!I23</f>
        <v>10113</v>
      </c>
      <c r="J23" s="297">
        <f>'нов сад'!J23+'проточ ссап'!J23</f>
        <v>26968</v>
      </c>
      <c r="K23" s="297">
        <f>'нов сад'!K23+'проточ ссап'!K23</f>
        <v>323616</v>
      </c>
      <c r="S23" s="259">
        <f t="shared" si="0"/>
        <v>323616</v>
      </c>
    </row>
    <row r="24" spans="1:19" ht="24.75" customHeight="1">
      <c r="A24" s="1281"/>
      <c r="B24" s="418" t="s">
        <v>169</v>
      </c>
      <c r="C24" s="209"/>
      <c r="D24" s="297">
        <f>'нов сад'!D24+'проточ ссап'!D24</f>
        <v>1</v>
      </c>
      <c r="E24" s="297">
        <f>'нов сад'!E24+'проточ ссап'!E24</f>
        <v>3813</v>
      </c>
      <c r="F24" s="297">
        <f>'нов сад'!F24+'проточ ссап'!F24</f>
        <v>3813</v>
      </c>
      <c r="G24" s="297">
        <f>'нов сад'!G24+'проточ ссап'!G24</f>
        <v>953.25</v>
      </c>
      <c r="H24" s="297">
        <f>'нов сад'!H24+'проточ ссап'!H24</f>
        <v>190.65</v>
      </c>
      <c r="I24" s="297">
        <f>'нов сад'!I24+'проточ ссап'!I24</f>
        <v>2974.14</v>
      </c>
      <c r="J24" s="297">
        <f>'нов сад'!J24+'проточ ссап'!J24</f>
        <v>7931.0399999999991</v>
      </c>
      <c r="K24" s="297">
        <f>'нов сад'!K24+'проточ ссап'!K24</f>
        <v>95172.479999999981</v>
      </c>
      <c r="S24" s="259">
        <f t="shared" si="0"/>
        <v>95172.479999999981</v>
      </c>
    </row>
    <row r="25" spans="1:19" ht="43.5" customHeight="1">
      <c r="A25" s="1281"/>
      <c r="B25" s="418" t="s">
        <v>143</v>
      </c>
      <c r="C25" s="209"/>
      <c r="D25" s="297">
        <f>'нов сад'!D25+'проточ ссап'!D25</f>
        <v>15</v>
      </c>
      <c r="E25" s="297">
        <f>'проточ ссап'!E25</f>
        <v>4305</v>
      </c>
      <c r="F25" s="297">
        <f>'нов сад'!F25+'проточ ссап'!F25</f>
        <v>64575</v>
      </c>
      <c r="G25" s="297">
        <f>'нов сад'!G25+'проточ ссап'!G25</f>
        <v>0</v>
      </c>
      <c r="H25" s="297">
        <f>'нов сад'!H25+'проточ ссап'!H25</f>
        <v>6888</v>
      </c>
      <c r="I25" s="297">
        <f>'нов сад'!I25+'проточ ссап'!I25</f>
        <v>42877.799999999996</v>
      </c>
      <c r="J25" s="297">
        <f>'нов сад'!J25+'проточ ссап'!J25</f>
        <v>114340.8</v>
      </c>
      <c r="K25" s="297">
        <f>'нов сад'!K25+'проточ ссап'!K25</f>
        <v>1324562.4000000001</v>
      </c>
      <c r="S25" s="259">
        <f t="shared" si="0"/>
        <v>1372089.6</v>
      </c>
    </row>
    <row r="26" spans="1:19" ht="33" customHeight="1" thickBot="1">
      <c r="A26" s="1281"/>
      <c r="B26" s="418" t="s">
        <v>170</v>
      </c>
      <c r="C26" s="209"/>
      <c r="D26" s="297">
        <f>'нов сад'!D26+'проточ ссап'!D26</f>
        <v>1</v>
      </c>
      <c r="E26" s="297">
        <f>'нов сад'!E26+'проточ ссап'!E26</f>
        <v>4650</v>
      </c>
      <c r="F26" s="297">
        <f>'нов сад'!F26+'проточ ссап'!F26</f>
        <v>4650</v>
      </c>
      <c r="G26" s="297">
        <f>'нов сад'!G26+'проточ ссап'!G26</f>
        <v>1162.5</v>
      </c>
      <c r="H26" s="297">
        <f>'нов сад'!H26+'проточ ссап'!H26</f>
        <v>232.5</v>
      </c>
      <c r="I26" s="297">
        <f>'нов сад'!I26+'проточ ссап'!I26</f>
        <v>3627</v>
      </c>
      <c r="J26" s="297">
        <f>'нов сад'!J26+'проточ ссап'!J26</f>
        <v>9672</v>
      </c>
      <c r="K26" s="297">
        <f>'нов сад'!K26+'проточ ссап'!K26</f>
        <v>116064</v>
      </c>
      <c r="S26" s="259">
        <f t="shared" si="0"/>
        <v>116064</v>
      </c>
    </row>
    <row r="27" spans="1:19" ht="33" hidden="1" customHeight="1">
      <c r="A27" s="1281"/>
      <c r="B27" s="417" t="s">
        <v>111</v>
      </c>
      <c r="C27" s="419"/>
      <c r="D27" s="297" t="e">
        <f>'[1]нов сад'!D27+'[1]проточ ссап'!D27</f>
        <v>#REF!</v>
      </c>
      <c r="E27" s="297" t="e">
        <f>'[1]нов сад'!E27+'[1]проточ ссап'!E27</f>
        <v>#REF!</v>
      </c>
      <c r="F27" s="297" t="e">
        <f>'[1]нов сад'!F27+'[1]проточ ссап'!F27</f>
        <v>#REF!</v>
      </c>
      <c r="G27" s="297" t="e">
        <f>'[1]нов сад'!G27+'[1]проточ ссап'!G27</f>
        <v>#REF!</v>
      </c>
      <c r="H27" s="297" t="e">
        <f>'[1]нов сад'!H27+'[1]проточ ссап'!H27</f>
        <v>#REF!</v>
      </c>
      <c r="I27" s="297">
        <f>'[1]нов сад'!I27+'[1]проточ ссап'!I27</f>
        <v>0</v>
      </c>
      <c r="J27" s="297" t="e">
        <f>'[1]нов сад'!J27+'[1]проточ ссап'!J27</f>
        <v>#REF!</v>
      </c>
      <c r="K27" s="297">
        <f>'[1]нов сад'!K27+'[1]проточ ссап'!K27</f>
        <v>0</v>
      </c>
      <c r="S27" s="259" t="e">
        <f t="shared" si="0"/>
        <v>#REF!</v>
      </c>
    </row>
    <row r="28" spans="1:19" ht="47.25" hidden="1" customHeight="1" thickBot="1">
      <c r="A28" s="1281"/>
      <c r="B28" s="418" t="s">
        <v>74</v>
      </c>
      <c r="C28" s="209"/>
      <c r="D28" s="297" t="e">
        <f>'[1]нов сад'!D28+'[1]проточ ссап'!D28</f>
        <v>#REF!</v>
      </c>
      <c r="E28" s="297" t="e">
        <f>'[1]нов сад'!E28+'[1]проточ ссап'!E28</f>
        <v>#REF!</v>
      </c>
      <c r="F28" s="297" t="e">
        <f>'[1]нов сад'!F28+'[1]проточ ссап'!F28</f>
        <v>#REF!</v>
      </c>
      <c r="G28" s="297" t="e">
        <f>'[1]нов сад'!G28+'[1]проточ ссап'!G28</f>
        <v>#REF!</v>
      </c>
      <c r="H28" s="297" t="e">
        <f>'[1]нов сад'!H28+'[1]проточ ссап'!H28</f>
        <v>#REF!</v>
      </c>
      <c r="I28" s="297" t="e">
        <f>'[1]нов сад'!I28+'[1]проточ ссап'!I28</f>
        <v>#REF!</v>
      </c>
      <c r="J28" s="297" t="e">
        <f>'[1]нов сад'!J28+'[1]проточ ссап'!J28</f>
        <v>#REF!</v>
      </c>
      <c r="K28" s="297" t="e">
        <f>'[1]нов сад'!K28+'[1]проточ ссап'!K28</f>
        <v>#REF!</v>
      </c>
      <c r="S28" s="259" t="e">
        <f t="shared" si="0"/>
        <v>#REF!</v>
      </c>
    </row>
    <row r="29" spans="1:19" ht="34.5" customHeight="1" thickBot="1">
      <c r="A29" s="1281"/>
      <c r="B29" s="214"/>
      <c r="C29" s="215"/>
      <c r="D29" s="266">
        <f>SUM(D19:D26)</f>
        <v>22</v>
      </c>
      <c r="E29" s="266">
        <f t="shared" ref="E29:J29" si="1">SUM(E19:E26)</f>
        <v>77430</v>
      </c>
      <c r="F29" s="266">
        <f t="shared" si="1"/>
        <v>137700</v>
      </c>
      <c r="G29" s="266">
        <f t="shared" si="1"/>
        <v>26708.75</v>
      </c>
      <c r="H29" s="266">
        <f t="shared" si="1"/>
        <v>26527.75</v>
      </c>
      <c r="I29" s="266">
        <f t="shared" si="1"/>
        <v>114561.9</v>
      </c>
      <c r="J29" s="266">
        <f t="shared" si="1"/>
        <v>305498.40000000002</v>
      </c>
      <c r="K29" s="267">
        <f>SUM(K19:K26)</f>
        <v>3466476</v>
      </c>
      <c r="L29" s="258">
        <f>'[1]об сад нов'!K29+'[1]проточ ссап'!K29</f>
        <v>1255123.8400000001</v>
      </c>
      <c r="M29" s="258">
        <f>'[1]нов сад'!K29</f>
        <v>1010188.16</v>
      </c>
      <c r="S29" s="259">
        <f t="shared" si="0"/>
        <v>3665980.8000000003</v>
      </c>
    </row>
    <row r="30" spans="1:19" ht="31.5" customHeight="1">
      <c r="A30" s="1281"/>
      <c r="B30" s="417" t="s">
        <v>171</v>
      </c>
      <c r="C30" s="279"/>
      <c r="D30" s="297">
        <f>'нов сад'!D30+'проточ ссап'!D30</f>
        <v>0</v>
      </c>
      <c r="E30" s="297">
        <f>'нов сад'!E30+'проточ ссап'!E30</f>
        <v>0</v>
      </c>
      <c r="F30" s="297">
        <f>'нов сад'!F30+'проточ ссап'!F30</f>
        <v>0</v>
      </c>
      <c r="G30" s="297">
        <f>'нов сад'!G30+'проточ ссап'!G30</f>
        <v>0</v>
      </c>
      <c r="H30" s="297">
        <f>'нов сад'!H30+'проточ ссап'!H30</f>
        <v>0</v>
      </c>
      <c r="I30" s="297">
        <f>'нов сад'!I30+'проточ ссап'!I30</f>
        <v>0</v>
      </c>
      <c r="J30" s="297">
        <f>'нов сад'!J30+'проточ ссап'!J30</f>
        <v>61099.679999999993</v>
      </c>
      <c r="K30" s="297">
        <f>'нов сад'!K30+'проточ ссап'!K30</f>
        <v>693295.2</v>
      </c>
      <c r="L30" s="258">
        <f>'[1]об сад нов'!K30+'[1]проточ ссап'!K30</f>
        <v>251024.76800000001</v>
      </c>
      <c r="M30" s="258">
        <f>'[1]нов сад'!K30</f>
        <v>202037.63200000001</v>
      </c>
      <c r="N30" s="1">
        <f>J30*12</f>
        <v>733196.15999999992</v>
      </c>
      <c r="S30" s="259">
        <f t="shared" si="0"/>
        <v>733196.15999999992</v>
      </c>
    </row>
    <row r="31" spans="1:19" ht="48">
      <c r="A31" s="1281"/>
      <c r="B31" s="305" t="s">
        <v>78</v>
      </c>
      <c r="C31" s="419"/>
      <c r="D31" s="297">
        <f>'нов сад'!D31+'проточ ссап'!D31</f>
        <v>0</v>
      </c>
      <c r="E31" s="297">
        <f>'нов сад'!E31+'проточ ссап'!E31</f>
        <v>0</v>
      </c>
      <c r="F31" s="297">
        <f>'нов сад'!F31+'проточ ссап'!F31</f>
        <v>0</v>
      </c>
      <c r="G31" s="297">
        <f>'нов сад'!G31+'проточ ссап'!G31</f>
        <v>0</v>
      </c>
      <c r="H31" s="297">
        <f>'нов сад'!H31+'проточ ссап'!H31</f>
        <v>0</v>
      </c>
      <c r="I31" s="297">
        <f>'нов сад'!I31+'проточ ссап'!I31</f>
        <v>0</v>
      </c>
      <c r="J31" s="297">
        <f>'нов сад'!J31+'проточ ссап'!J31</f>
        <v>237744.8</v>
      </c>
      <c r="K31" s="297">
        <f>'нов сад'!K31+'проточ ссап'!K31</f>
        <v>2753782.8</v>
      </c>
      <c r="L31" s="258">
        <f>'[1]об сад нов'!K31+'[1]проточ ссап'!K31</f>
        <v>930943.99999999988</v>
      </c>
      <c r="M31" s="258">
        <f>'[1]нов сад'!K31</f>
        <v>825550.08</v>
      </c>
      <c r="S31" s="259">
        <f t="shared" si="0"/>
        <v>2852937.5999999996</v>
      </c>
    </row>
    <row r="32" spans="1:19" ht="24.75" thickBot="1">
      <c r="A32" s="1281"/>
      <c r="B32" s="418" t="s">
        <v>172</v>
      </c>
      <c r="C32" s="209"/>
      <c r="D32" s="297">
        <f>'нов сад'!D32+'проточ ссап'!D32</f>
        <v>0</v>
      </c>
      <c r="E32" s="297">
        <f>'нов сад'!E32+'проточ ссап'!E32</f>
        <v>0</v>
      </c>
      <c r="F32" s="297">
        <f>'нов сад'!F32+'проточ ссап'!F32</f>
        <v>0</v>
      </c>
      <c r="G32" s="297">
        <f>'нов сад'!G32+'проточ ссап'!G32</f>
        <v>0</v>
      </c>
      <c r="H32" s="297">
        <f>'нов сад'!H32+'проточ ссап'!H32</f>
        <v>0</v>
      </c>
      <c r="I32" s="297">
        <f>'нов сад'!I32+'проточ ссап'!I32</f>
        <v>0</v>
      </c>
      <c r="J32" s="297">
        <f>'нов сад'!J32+'проточ ссап'!J32</f>
        <v>0</v>
      </c>
      <c r="K32" s="297">
        <f>'нов сад'!K32+'проточ ссап'!K32</f>
        <v>0</v>
      </c>
      <c r="S32" s="259">
        <f t="shared" si="0"/>
        <v>0</v>
      </c>
    </row>
    <row r="33" spans="1:26" ht="24.75" thickBot="1">
      <c r="A33" s="1281"/>
      <c r="B33" s="224" t="s">
        <v>145</v>
      </c>
      <c r="C33" s="215"/>
      <c r="D33" s="222">
        <f>D29+D30+D31+D32</f>
        <v>22</v>
      </c>
      <c r="E33" s="222">
        <f t="shared" ref="E33:K33" si="2">E29+E30+E31+E32</f>
        <v>77430</v>
      </c>
      <c r="F33" s="222">
        <f t="shared" si="2"/>
        <v>137700</v>
      </c>
      <c r="G33" s="222">
        <f t="shared" si="2"/>
        <v>26708.75</v>
      </c>
      <c r="H33" s="222">
        <f t="shared" si="2"/>
        <v>26527.75</v>
      </c>
      <c r="I33" s="222">
        <f t="shared" si="2"/>
        <v>114561.9</v>
      </c>
      <c r="J33" s="222">
        <f t="shared" si="2"/>
        <v>604342.88</v>
      </c>
      <c r="K33" s="226">
        <f t="shared" si="2"/>
        <v>6913554</v>
      </c>
      <c r="L33" s="258">
        <f>'[1]об сад нов'!K33+'[1]проточ ссап'!K33</f>
        <v>2605665.8079999997</v>
      </c>
      <c r="M33" s="258">
        <f>'[1]нов сад'!K33</f>
        <v>2206349.0720000002</v>
      </c>
      <c r="O33" s="1">
        <f>Q29</f>
        <v>0</v>
      </c>
      <c r="S33" s="259">
        <f t="shared" si="0"/>
        <v>7252114.5600000005</v>
      </c>
    </row>
    <row r="34" spans="1:26" ht="22.5" customHeight="1">
      <c r="A34" s="1282" t="s">
        <v>32</v>
      </c>
      <c r="B34" s="1277" t="s">
        <v>144</v>
      </c>
      <c r="C34" s="1278"/>
      <c r="D34" s="1278"/>
      <c r="E34" s="1278"/>
      <c r="F34" s="1278"/>
      <c r="G34" s="1278"/>
      <c r="H34" s="1278"/>
      <c r="I34" s="1278"/>
      <c r="J34" s="1278"/>
      <c r="K34" s="1278"/>
      <c r="X34" s="2"/>
    </row>
    <row r="35" spans="1:26" ht="30.75" customHeight="1">
      <c r="A35" s="1420"/>
      <c r="B35" s="417" t="s">
        <v>146</v>
      </c>
      <c r="C35" s="419" t="s">
        <v>36</v>
      </c>
      <c r="D35" s="297">
        <f>'нов сад'!D35+'проточ ссап'!D35</f>
        <v>3.1</v>
      </c>
      <c r="E35" s="297">
        <f>'нов сад'!E35+'проточ ссап'!E35</f>
        <v>8168</v>
      </c>
      <c r="F35" s="297">
        <f>'нов сад'!F35+'проточ ссап'!F35</f>
        <v>26782.62</v>
      </c>
      <c r="G35" s="297">
        <f>'нов сад'!G35+'проточ ссап'!G35</f>
        <v>6532.3</v>
      </c>
      <c r="H35" s="297">
        <f>'нов сад'!H35+'проточ ссап'!H35</f>
        <v>4571.0200000000004</v>
      </c>
      <c r="I35" s="297">
        <f>'нов сад'!I35+'проточ ссап'!I35</f>
        <v>22731.564000000002</v>
      </c>
      <c r="J35" s="297">
        <f>'нов сад'!J35+'проточ ссап'!J35</f>
        <v>60617.504000000001</v>
      </c>
      <c r="K35" s="297">
        <f>'нов сад'!K35+'проточ ссап'!K35</f>
        <v>727410.04799999995</v>
      </c>
      <c r="O35" s="258">
        <f>D35+D36</f>
        <v>19.600000000000001</v>
      </c>
      <c r="S35" s="259">
        <f t="shared" si="0"/>
        <v>727410.04799999995</v>
      </c>
      <c r="X35" s="2"/>
    </row>
    <row r="36" spans="1:26" ht="30.75" customHeight="1">
      <c r="A36" s="1420"/>
      <c r="B36" s="417" t="s">
        <v>146</v>
      </c>
      <c r="C36" s="419"/>
      <c r="D36" s="297">
        <f>'нов сад'!D36+'проточ ссап'!D36</f>
        <v>16.5</v>
      </c>
      <c r="E36" s="297">
        <f>'нов сад'!E36</f>
        <v>7171</v>
      </c>
      <c r="F36" s="297">
        <f>'нов сад'!F36+'проточ ссап'!F36</f>
        <v>129436.55</v>
      </c>
      <c r="G36" s="297">
        <f>'нов сад'!G36+'проточ ссап'!G36</f>
        <v>29580.38</v>
      </c>
      <c r="H36" s="297">
        <f>'нов сад'!H36+'проточ ссап'!H36</f>
        <v>30316.98</v>
      </c>
      <c r="I36" s="297">
        <f>'нов сад'!I36+'проточ ссап'!I36</f>
        <v>113600.34599999998</v>
      </c>
      <c r="J36" s="297">
        <f>'нов сад'!J36+'проточ ссап'!J36</f>
        <v>302934.25599999994</v>
      </c>
      <c r="K36" s="297">
        <f>'нов сад'!K36+'проточ ссап'!K36</f>
        <v>3531936.1919999993</v>
      </c>
      <c r="L36" s="258">
        <f>K36+'[1]проточ ссап'!K36</f>
        <v>3616826.4319999996</v>
      </c>
      <c r="M36" s="258">
        <f>'[1]нов сад'!K36</f>
        <v>1088410.56</v>
      </c>
      <c r="S36" s="259">
        <f t="shared" si="0"/>
        <v>3635211.0719999992</v>
      </c>
      <c r="X36" s="2"/>
    </row>
    <row r="37" spans="1:26" ht="36" customHeight="1">
      <c r="A37" s="1420"/>
      <c r="B37" s="417" t="s">
        <v>147</v>
      </c>
      <c r="C37" s="419" t="s">
        <v>34</v>
      </c>
      <c r="D37" s="888">
        <f>'нов сад'!D37+'проточ ссап'!D37</f>
        <v>3</v>
      </c>
      <c r="E37" s="297">
        <f>'нов сад'!E37</f>
        <v>6255</v>
      </c>
      <c r="F37" s="297">
        <f>'нов сад'!F37+'проточ ссап'!F37</f>
        <v>21345.19</v>
      </c>
      <c r="G37" s="297">
        <f>'нов сад'!G37+'проточ ссап'!G37</f>
        <v>4300.32</v>
      </c>
      <c r="H37" s="297">
        <f>'нов сад'!H37+'проточ ссап'!H37</f>
        <v>5785.8799999999992</v>
      </c>
      <c r="I37" s="297">
        <f>'нов сад'!I37+'проточ ссап'!I37</f>
        <v>18858.833999999995</v>
      </c>
      <c r="J37" s="297">
        <f>'нов сад'!J37+'проточ ссап'!J37</f>
        <v>50290.223999999995</v>
      </c>
      <c r="K37" s="297">
        <f>'нов сад'!K37+'проточ ссап'!K37</f>
        <v>584717.66399999987</v>
      </c>
      <c r="L37" s="322">
        <f>'[1]проточ ссап'!K37+'[1]об сад нов'!K37</f>
        <v>256665.59999999998</v>
      </c>
      <c r="M37" s="258">
        <f>'[1]нов сад'!K37</f>
        <v>224409.59999999998</v>
      </c>
      <c r="N37" s="2">
        <f>L37-M37</f>
        <v>32256</v>
      </c>
      <c r="S37" s="259">
        <f t="shared" si="0"/>
        <v>603482.68799999997</v>
      </c>
      <c r="X37" s="2"/>
    </row>
    <row r="38" spans="1:26" ht="30.75" hidden="1" customHeight="1">
      <c r="A38" s="1420"/>
      <c r="B38" s="417" t="s">
        <v>147</v>
      </c>
      <c r="C38" s="419" t="s">
        <v>34</v>
      </c>
      <c r="D38" s="297">
        <f>'нов сад'!D38+'проточ ссап'!D38</f>
        <v>0</v>
      </c>
      <c r="E38" s="297">
        <f>'нов сад'!E38+'проточ ссап'!E38</f>
        <v>0</v>
      </c>
      <c r="F38" s="297">
        <f>'нов сад'!F38+'проточ ссап'!F38</f>
        <v>0</v>
      </c>
      <c r="G38" s="297">
        <f>'нов сад'!G38+'проточ ссап'!G38</f>
        <v>0</v>
      </c>
      <c r="H38" s="297">
        <f>'нов сад'!H38+'проточ ссап'!H38</f>
        <v>0</v>
      </c>
      <c r="I38" s="297">
        <f>'нов сад'!I38+'проточ ссап'!I38</f>
        <v>0</v>
      </c>
      <c r="J38" s="297">
        <f>'нов сад'!J38+'проточ ссап'!J38</f>
        <v>0</v>
      </c>
      <c r="K38" s="297">
        <f>'нов сад'!K38+'проточ ссап'!K38</f>
        <v>0</v>
      </c>
      <c r="L38" s="2"/>
      <c r="S38" s="259">
        <f t="shared" si="0"/>
        <v>0</v>
      </c>
      <c r="X38" s="2"/>
    </row>
    <row r="39" spans="1:26" ht="36.75" customHeight="1">
      <c r="A39" s="1425"/>
      <c r="B39" s="417" t="s">
        <v>44</v>
      </c>
      <c r="C39" s="419" t="s">
        <v>42</v>
      </c>
      <c r="D39" s="297">
        <f>'нов сад'!D39+'проточ ссап'!D39</f>
        <v>1.625</v>
      </c>
      <c r="E39" s="297">
        <f>'нов сад'!E39</f>
        <v>6255</v>
      </c>
      <c r="F39" s="297">
        <f>'нов сад'!F39+'проточ ссап'!F39</f>
        <v>11571.759999999998</v>
      </c>
      <c r="G39" s="297">
        <f>'нов сад'!G39+'проточ ссап'!G39</f>
        <v>2541.1</v>
      </c>
      <c r="H39" s="297">
        <f>'нов сад'!H39+'проточ ссап'!H39</f>
        <v>1407.38</v>
      </c>
      <c r="I39" s="297">
        <f>'нов сад'!I39+'проточ ссап'!I39</f>
        <v>9312.1439999999984</v>
      </c>
      <c r="J39" s="297">
        <f>'нов сад'!J39+'проточ ссап'!J39</f>
        <v>24832.383999999995</v>
      </c>
      <c r="K39" s="297">
        <f>'нов сад'!K39+'проточ ссап'!K39</f>
        <v>288606.04799999995</v>
      </c>
      <c r="L39" s="322">
        <f>'[1]проточ ссап'!K39+'[1]об сад нов'!K39</f>
        <v>129484.79999999999</v>
      </c>
      <c r="M39" s="258">
        <f>'[1]нов сад'!K39</f>
        <v>113356.79999999999</v>
      </c>
      <c r="S39" s="259">
        <f t="shared" si="0"/>
        <v>297988.60799999995</v>
      </c>
    </row>
    <row r="40" spans="1:26" ht="18" customHeight="1">
      <c r="A40" s="1426"/>
      <c r="B40" s="417" t="s">
        <v>175</v>
      </c>
      <c r="C40" s="419" t="s">
        <v>29</v>
      </c>
      <c r="D40" s="297">
        <f>'нов сад'!D40+'проточ ссап'!D40</f>
        <v>1</v>
      </c>
      <c r="E40" s="297">
        <f>'нов сад'!E40+'проточ ссап'!E40</f>
        <v>8168</v>
      </c>
      <c r="F40" s="297">
        <f>'нов сад'!F40+'проточ ссап'!F40</f>
        <v>8168</v>
      </c>
      <c r="G40" s="297">
        <f>'нов сад'!G40+'проточ ссап'!G40</f>
        <v>2042</v>
      </c>
      <c r="H40" s="297">
        <f>'нов сад'!H40+'проточ ссап'!H40</f>
        <v>1225.2</v>
      </c>
      <c r="I40" s="297">
        <f>'нов сад'!I40+'проточ ссап'!I40</f>
        <v>6861.12</v>
      </c>
      <c r="J40" s="297">
        <f>'нов сад'!J40+'проточ ссап'!J40</f>
        <v>18296.32</v>
      </c>
      <c r="K40" s="297">
        <f>'нов сад'!K40+'проточ ссап'!K40</f>
        <v>219555.84</v>
      </c>
      <c r="L40" s="322" t="e">
        <f>'[1]проточ ссап'!K40+'[1]об сад нов'!K40</f>
        <v>#REF!</v>
      </c>
      <c r="M40" s="258">
        <f>'[1]нов сад'!K40</f>
        <v>84235.263999999996</v>
      </c>
      <c r="S40" s="259">
        <f t="shared" si="0"/>
        <v>219555.84</v>
      </c>
    </row>
    <row r="41" spans="1:26" ht="29.25" customHeight="1">
      <c r="A41" s="1426"/>
      <c r="B41" s="417" t="s">
        <v>176</v>
      </c>
      <c r="C41" s="419" t="s">
        <v>29</v>
      </c>
      <c r="D41" s="297">
        <f>'нов сад'!D41+'проточ ссап'!D41</f>
        <v>1</v>
      </c>
      <c r="E41" s="297">
        <f>'нов сад'!E41+'проточ ссап'!E41</f>
        <v>8942</v>
      </c>
      <c r="F41" s="297">
        <f>'нов сад'!F41+'проточ ссап'!F41</f>
        <v>8942</v>
      </c>
      <c r="G41" s="297">
        <f>'нов сад'!G41+'проточ ссап'!G41</f>
        <v>2235.5</v>
      </c>
      <c r="H41" s="297">
        <f>'нов сад'!H41+'проточ ссап'!H41</f>
        <v>1341.3</v>
      </c>
      <c r="I41" s="297">
        <f>'нов сад'!I41+'проточ ссап'!I41</f>
        <v>7511.2799999999988</v>
      </c>
      <c r="J41" s="297">
        <f>'нов сад'!J41+'проточ ссап'!J41</f>
        <v>20030.079999999998</v>
      </c>
      <c r="K41" s="297">
        <f>'нов сад'!K41+'проточ ссап'!K41</f>
        <v>240360.95999999996</v>
      </c>
      <c r="L41" s="322" t="e">
        <f>'[1]проточ ссап'!K41+'[1]об сад нов'!K41</f>
        <v>#REF!</v>
      </c>
      <c r="M41" s="258">
        <f>'[1]нов сад'!K41</f>
        <v>100125.44</v>
      </c>
      <c r="S41" s="259">
        <f t="shared" si="0"/>
        <v>240360.95999999996</v>
      </c>
    </row>
    <row r="42" spans="1:26" ht="21" customHeight="1">
      <c r="A42" s="1426"/>
      <c r="B42" s="417" t="s">
        <v>40</v>
      </c>
      <c r="C42" s="419" t="s">
        <v>34</v>
      </c>
      <c r="D42" s="297">
        <f>'нов сад'!D42+'проточ ссап'!D42</f>
        <v>1</v>
      </c>
      <c r="E42" s="297">
        <f>'нов сад'!E42+'проточ ссап'!E42</f>
        <v>8942</v>
      </c>
      <c r="F42" s="297">
        <f>'нов сад'!F42+'проточ ссап'!F42</f>
        <v>10283.299999999999</v>
      </c>
      <c r="G42" s="297">
        <f>'нов сад'!G42+'проточ ссап'!G42</f>
        <v>4023.9</v>
      </c>
      <c r="H42" s="297">
        <f>'нов сад'!H42+'проточ ссап'!H42</f>
        <v>1341.3</v>
      </c>
      <c r="I42" s="297">
        <f>'нов сад'!I42+'проточ ссап'!I42</f>
        <v>9389.0999999999985</v>
      </c>
      <c r="J42" s="297">
        <f>'нов сад'!J42+'проточ ссап'!J42</f>
        <v>25037.599999999999</v>
      </c>
      <c r="K42" s="297">
        <f>'нов сад'!K42+'проточ ссап'!K42</f>
        <v>300451.19999999995</v>
      </c>
      <c r="L42" s="322" t="e">
        <f>'[1]проточ ссап'!K42+'[1]об сад нов'!K42</f>
        <v>#REF!</v>
      </c>
      <c r="M42" s="258">
        <f>'[1]нов сад'!K42</f>
        <v>118569.60000000001</v>
      </c>
      <c r="S42" s="259">
        <f t="shared" si="0"/>
        <v>300451.19999999995</v>
      </c>
    </row>
    <row r="43" spans="1:26" ht="15.75" customHeight="1">
      <c r="A43" s="1426"/>
      <c r="B43" s="417" t="s">
        <v>178</v>
      </c>
      <c r="C43" s="419" t="s">
        <v>36</v>
      </c>
      <c r="D43" s="297">
        <f>'нов сад'!D43+'проточ ссап'!D43</f>
        <v>1</v>
      </c>
      <c r="E43" s="297">
        <f>'нов сад'!E43+'проточ ссап'!E43</f>
        <v>8942</v>
      </c>
      <c r="F43" s="297">
        <f>'нов сад'!F43+'проточ ссап'!F43</f>
        <v>10283.299999999999</v>
      </c>
      <c r="G43" s="297">
        <f>'нов сад'!G43+'проточ ссап'!G43</f>
        <v>2235.5</v>
      </c>
      <c r="H43" s="297">
        <f>'нов сад'!H43+'проточ ссап'!H43</f>
        <v>447.1</v>
      </c>
      <c r="I43" s="297">
        <f>'нов сад'!I43+'проточ ссап'!I43</f>
        <v>7779.5399999999991</v>
      </c>
      <c r="J43" s="297">
        <f>'нов сад'!J43+'проточ ссап'!J43</f>
        <v>20745.439999999999</v>
      </c>
      <c r="K43" s="297">
        <f>'нов сад'!K43+'проточ ссап'!K43</f>
        <v>248945.27999999997</v>
      </c>
      <c r="L43" s="322" t="e">
        <f>'[1]проточ ссап'!K43+'[1]об сад нов'!K43</f>
        <v>#REF!</v>
      </c>
      <c r="M43" s="258">
        <f>'[1]нов сад'!K43</f>
        <v>102760.32000000001</v>
      </c>
      <c r="S43" s="259">
        <f t="shared" si="0"/>
        <v>248945.27999999997</v>
      </c>
    </row>
    <row r="44" spans="1:26" ht="45.75" customHeight="1" thickBot="1">
      <c r="A44" s="1427"/>
      <c r="B44" s="417" t="s">
        <v>177</v>
      </c>
      <c r="C44" s="419" t="s">
        <v>42</v>
      </c>
      <c r="D44" s="297">
        <f>'нов сад'!D44+'проточ ссап'!D44</f>
        <v>0</v>
      </c>
      <c r="E44" s="297">
        <f>'нов сад'!E44+'проточ ссап'!E44</f>
        <v>0</v>
      </c>
      <c r="F44" s="297">
        <f>'нов сад'!F44+'проточ ссап'!F44</f>
        <v>0</v>
      </c>
      <c r="G44" s="297">
        <f>'нов сад'!G44+'проточ ссап'!G44</f>
        <v>0</v>
      </c>
      <c r="H44" s="297">
        <f>'нов сад'!H44+'проточ ссап'!H44</f>
        <v>0</v>
      </c>
      <c r="I44" s="297">
        <f>'нов сад'!I44+'проточ ссап'!I44</f>
        <v>0</v>
      </c>
      <c r="J44" s="297">
        <f>'нов сад'!J44+'проточ ссап'!J44</f>
        <v>0</v>
      </c>
      <c r="K44" s="297">
        <f>'нов сад'!K44+'проточ ссап'!K44</f>
        <v>0</v>
      </c>
      <c r="L44" s="322" t="e">
        <f>'[1]проточ ссап'!K44+'[1]об сад нов'!K44</f>
        <v>#REF!</v>
      </c>
      <c r="M44" s="258">
        <f>'[1]нов сад'!K44</f>
        <v>0</v>
      </c>
      <c r="S44" s="259">
        <f t="shared" si="0"/>
        <v>0</v>
      </c>
    </row>
    <row r="45" spans="1:26" ht="12.75" thickBot="1">
      <c r="A45" s="241"/>
      <c r="B45" s="214"/>
      <c r="C45" s="243"/>
      <c r="D45" s="319">
        <f>SUM(D35:D44)</f>
        <v>28.225000000000001</v>
      </c>
      <c r="E45" s="268">
        <f t="shared" ref="E45:K45" si="3">SUM(E35:E44)</f>
        <v>62843</v>
      </c>
      <c r="F45" s="268">
        <f t="shared" si="3"/>
        <v>226812.72</v>
      </c>
      <c r="G45" s="268">
        <f t="shared" si="3"/>
        <v>53491</v>
      </c>
      <c r="H45" s="268">
        <f t="shared" si="3"/>
        <v>46436.159999999996</v>
      </c>
      <c r="I45" s="268">
        <f t="shared" si="3"/>
        <v>196043.92799999999</v>
      </c>
      <c r="J45" s="268">
        <f t="shared" si="3"/>
        <v>522783.80799999996</v>
      </c>
      <c r="K45" s="244">
        <f t="shared" si="3"/>
        <v>6141983.2319999998</v>
      </c>
      <c r="L45" s="322">
        <f>'[1]проточ ссап'!K45+'[1]об сад нов'!K45</f>
        <v>2607686.4000000004</v>
      </c>
      <c r="M45" s="258">
        <f>'[1]нов сад'!K45</f>
        <v>2389521.9200000004</v>
      </c>
      <c r="S45" s="259">
        <f t="shared" si="0"/>
        <v>6273405.6959999995</v>
      </c>
      <c r="Z45" s="259"/>
    </row>
    <row r="46" spans="1:26" ht="24">
      <c r="A46" s="260"/>
      <c r="B46" s="416" t="s">
        <v>172</v>
      </c>
      <c r="C46" s="414"/>
      <c r="D46" s="297">
        <f>'нов сад'!D46+'проточ ссап'!D46</f>
        <v>0</v>
      </c>
      <c r="E46" s="297">
        <f>'нов сад'!E46+'проточ ссап'!E46</f>
        <v>0</v>
      </c>
      <c r="F46" s="297">
        <f>'нов сад'!F46+'проточ ссап'!F46</f>
        <v>0</v>
      </c>
      <c r="G46" s="297">
        <f>'нов сад'!G46+'проточ ссап'!G46</f>
        <v>0</v>
      </c>
      <c r="H46" s="297">
        <f>'нов сад'!H46+'проточ ссап'!H46</f>
        <v>0</v>
      </c>
      <c r="I46" s="297">
        <f>'нов сад'!I46+'проточ ссап'!I46</f>
        <v>0</v>
      </c>
      <c r="J46" s="297">
        <f>'нов сад'!J46+'проточ ссап'!J46</f>
        <v>81732.33</v>
      </c>
      <c r="K46" s="297">
        <f>'нов сад'!K46+'проточ ссап'!K46</f>
        <v>954745.8</v>
      </c>
      <c r="L46" s="322">
        <f>'[1]проточ ссап'!K46+'[1]об сад нов'!K46</f>
        <v>0</v>
      </c>
      <c r="M46" s="258">
        <f>'[1]нов сад'!K46</f>
        <v>0</v>
      </c>
      <c r="S46" s="259">
        <f t="shared" si="0"/>
        <v>980787.96</v>
      </c>
    </row>
    <row r="47" spans="1:26" ht="27.75" customHeight="1" thickBot="1">
      <c r="A47" s="247"/>
      <c r="B47" s="418" t="s">
        <v>171</v>
      </c>
      <c r="C47" s="245"/>
      <c r="D47" s="297">
        <f>'нов сад'!D47+'проточ ссап'!D47</f>
        <v>0</v>
      </c>
      <c r="E47" s="297">
        <f>'нов сад'!E47+'проточ ссап'!E47</f>
        <v>0</v>
      </c>
      <c r="F47" s="297">
        <f>'нов сад'!F47+'проточ ссап'!F47</f>
        <v>0</v>
      </c>
      <c r="G47" s="297">
        <f>'нов сад'!G47+'проточ ссап'!G47</f>
        <v>0</v>
      </c>
      <c r="H47" s="297">
        <f>'нов сад'!H47+'проточ ссап'!H47</f>
        <v>0</v>
      </c>
      <c r="I47" s="297">
        <f>'нов сад'!I47+'проточ ссап'!I47</f>
        <v>0</v>
      </c>
      <c r="J47" s="297">
        <f>'нов сад'!J47+'проточ ссап'!J47</f>
        <v>565338.86</v>
      </c>
      <c r="K47" s="297">
        <f>'нов сад'!K47+'проточ ссап'!K47</f>
        <v>6571862.04</v>
      </c>
      <c r="L47" s="322">
        <f>'[1]проточ ссап'!K47+'[1]об сад нов'!K47</f>
        <v>1713790.4</v>
      </c>
      <c r="M47" s="258">
        <f>'[1]нов сад'!K47</f>
        <v>1528199.92</v>
      </c>
      <c r="O47" s="259"/>
      <c r="S47" s="259">
        <f t="shared" si="0"/>
        <v>6784066.3200000003</v>
      </c>
      <c r="Y47" s="259"/>
    </row>
    <row r="48" spans="1:26" ht="36.75" thickBot="1">
      <c r="A48" s="304"/>
      <c r="B48" s="420" t="s">
        <v>148</v>
      </c>
      <c r="C48" s="243"/>
      <c r="D48" s="438">
        <f t="shared" ref="D48:I48" si="4">D45+D46+D47</f>
        <v>28.225000000000001</v>
      </c>
      <c r="E48" s="246">
        <f t="shared" si="4"/>
        <v>62843</v>
      </c>
      <c r="F48" s="246">
        <f t="shared" si="4"/>
        <v>226812.72</v>
      </c>
      <c r="G48" s="246">
        <f t="shared" si="4"/>
        <v>53491</v>
      </c>
      <c r="H48" s="246">
        <f t="shared" si="4"/>
        <v>46436.159999999996</v>
      </c>
      <c r="I48" s="246">
        <f t="shared" si="4"/>
        <v>196043.92799999999</v>
      </c>
      <c r="J48" s="246">
        <f>J45+J46+J47</f>
        <v>1169854.9979999999</v>
      </c>
      <c r="K48" s="300">
        <f>K45+K46+K47</f>
        <v>13668591.072000001</v>
      </c>
      <c r="L48" s="322">
        <f>'[1]проточ ссап'!K48+'[1]об сад нов'!K48</f>
        <v>4321476.8000000007</v>
      </c>
      <c r="M48" s="258">
        <f>'[1]нов сад'!K48</f>
        <v>3917721.8400000003</v>
      </c>
      <c r="S48" s="259">
        <f t="shared" si="0"/>
        <v>14038259.976</v>
      </c>
    </row>
    <row r="49" spans="1:33" ht="21" customHeight="1">
      <c r="A49" s="1423" t="s">
        <v>81</v>
      </c>
      <c r="B49" s="416"/>
      <c r="C49" s="1271" t="s">
        <v>80</v>
      </c>
      <c r="D49" s="1272"/>
      <c r="E49" s="1272"/>
      <c r="F49" s="1272"/>
      <c r="G49" s="1272"/>
      <c r="H49" s="1272"/>
      <c r="I49" s="1272"/>
      <c r="J49" s="1272"/>
      <c r="K49" s="1272"/>
      <c r="L49" s="2"/>
      <c r="M49" s="2"/>
      <c r="N49" s="2"/>
      <c r="S49" s="259">
        <f t="shared" si="0"/>
        <v>0</v>
      </c>
    </row>
    <row r="50" spans="1:33" ht="23.25" customHeight="1">
      <c r="A50" s="1273"/>
      <c r="B50" s="417" t="s">
        <v>95</v>
      </c>
      <c r="C50" s="1274" t="s">
        <v>83</v>
      </c>
      <c r="D50" s="297">
        <f>'нов сад'!D50+'проточ ссап'!D50</f>
        <v>1</v>
      </c>
      <c r="E50" s="297">
        <f>'нов сад'!E50+'проточ ссап'!E50</f>
        <v>5109</v>
      </c>
      <c r="F50" s="297">
        <f>'нов сад'!F50+'проточ ссап'!F50</f>
        <v>5109</v>
      </c>
      <c r="G50" s="297">
        <f>'нов сад'!G50+'проточ ссап'!G50</f>
        <v>1634.88</v>
      </c>
      <c r="H50" s="297">
        <f>'нов сад'!H50+'проточ ссап'!H50</f>
        <v>1277.25</v>
      </c>
      <c r="I50" s="297">
        <f>'нов сад'!I50+'проточ ссап'!I50</f>
        <v>4812.6779999999999</v>
      </c>
      <c r="J50" s="297">
        <f>'нов сад'!J50+'проточ ссап'!J50</f>
        <v>12833.808000000001</v>
      </c>
      <c r="K50" s="297">
        <f>'нов сад'!K50+'проточ ссап'!K50</f>
        <v>154005.696</v>
      </c>
      <c r="L50" s="322">
        <f>'[1]проточ ссап'!K50+'[1]об сад нов'!K50</f>
        <v>47265.792000000001</v>
      </c>
      <c r="M50" s="258">
        <f>'[1]нов сад'!K50</f>
        <v>47265.792000000001</v>
      </c>
      <c r="S50" s="259">
        <f t="shared" si="0"/>
        <v>154005.696</v>
      </c>
    </row>
    <row r="51" spans="1:33" ht="15" customHeight="1">
      <c r="A51" s="1273"/>
      <c r="B51" s="417" t="s">
        <v>93</v>
      </c>
      <c r="C51" s="1275"/>
      <c r="D51" s="297">
        <f>'нов сад'!D51+'проточ ссап'!D51</f>
        <v>3</v>
      </c>
      <c r="E51" s="297">
        <f>'нов сад'!E51+'проточ ссап'!E51</f>
        <v>3275</v>
      </c>
      <c r="F51" s="297">
        <f>'нов сад'!F51+'проточ ссап'!F51</f>
        <v>9825</v>
      </c>
      <c r="G51" s="297">
        <f>'нов сад'!G51+'проточ ссап'!G51</f>
        <v>1179</v>
      </c>
      <c r="H51" s="297">
        <f>'нов сад'!H51+'проточ ссап'!H51</f>
        <v>1146.25</v>
      </c>
      <c r="I51" s="297">
        <f>'нов сад'!I51+'проточ ссап'!I51</f>
        <v>7290.15</v>
      </c>
      <c r="J51" s="297">
        <f>'нов сад'!J51+'проточ ссап'!J51</f>
        <v>19440.400000000001</v>
      </c>
      <c r="K51" s="297">
        <f>'нов сад'!K51+'проточ ссап'!K51</f>
        <v>233284.80000000002</v>
      </c>
      <c r="L51" s="322" t="e">
        <f>'[1]проточ ссап'!K51+'[1]об сад нов'!K51</f>
        <v>#REF!</v>
      </c>
      <c r="M51" s="258">
        <f>'[1]нов сад'!K51</f>
        <v>71611.90400000001</v>
      </c>
      <c r="N51" s="2"/>
      <c r="S51" s="259">
        <f t="shared" si="0"/>
        <v>233284.80000000002</v>
      </c>
    </row>
    <row r="52" spans="1:33" ht="20.25" customHeight="1">
      <c r="A52" s="1273"/>
      <c r="B52" s="417" t="s">
        <v>93</v>
      </c>
      <c r="C52" s="1275"/>
      <c r="D52" s="297">
        <f>'нов сад'!D52+'проточ ссап'!D52</f>
        <v>2</v>
      </c>
      <c r="E52" s="297">
        <f>'нов сад'!E52+'проточ ссап'!E52</f>
        <v>7088</v>
      </c>
      <c r="F52" s="297">
        <f>'нов сад'!F52+'проточ ссап'!F52</f>
        <v>7088</v>
      </c>
      <c r="G52" s="297">
        <f>'нов сад'!G52+'проточ ссап'!G52</f>
        <v>850.56</v>
      </c>
      <c r="H52" s="297">
        <f>'нов сад'!H52+'проточ ссап'!H52</f>
        <v>1772</v>
      </c>
      <c r="I52" s="297">
        <f>'нов сад'!I52+'проточ ссап'!I52</f>
        <v>5826.3359999999993</v>
      </c>
      <c r="J52" s="297">
        <f>'нов сад'!J52+'проточ ссап'!J52</f>
        <v>15536.896000000001</v>
      </c>
      <c r="K52" s="297">
        <f>'нов сад'!K52+'проточ ссап'!K52</f>
        <v>143369.95200000002</v>
      </c>
      <c r="L52" s="322">
        <f>'[1]проточ ссап'!K52+'[1]об сад нов'!K52</f>
        <v>83673.024000000005</v>
      </c>
      <c r="M52" s="258">
        <f>'[1]нов сад'!K52</f>
        <v>30784.447999999997</v>
      </c>
      <c r="S52" s="259">
        <f t="shared" si="0"/>
        <v>186442.75200000001</v>
      </c>
    </row>
    <row r="53" spans="1:33" ht="36">
      <c r="A53" s="1273"/>
      <c r="B53" s="417" t="s">
        <v>186</v>
      </c>
      <c r="C53" s="1275"/>
      <c r="D53" s="297">
        <f>'нов сад'!D53+'проточ ссап'!D53</f>
        <v>2</v>
      </c>
      <c r="E53" s="297">
        <f>'нов сад'!E53+'проточ ссап'!E53</f>
        <v>3275</v>
      </c>
      <c r="F53" s="297">
        <f>'нов сад'!F53+'проточ ссап'!F53</f>
        <v>6550</v>
      </c>
      <c r="G53" s="297">
        <f>'нов сад'!G53+'проточ ссап'!G53</f>
        <v>0</v>
      </c>
      <c r="H53" s="297">
        <f>'нов сад'!H53+'проточ ссап'!H53</f>
        <v>491.25</v>
      </c>
      <c r="I53" s="297">
        <f>'нов сад'!I53+'проточ ссап'!I53</f>
        <v>4224.75</v>
      </c>
      <c r="J53" s="297">
        <f>'нов сад'!J53+'проточ ссап'!J53</f>
        <v>11266</v>
      </c>
      <c r="K53" s="297">
        <f>'нов сад'!K53+'проточ ссап'!K53</f>
        <v>135192</v>
      </c>
      <c r="L53" s="322">
        <f>'[1]проточ ссап'!K53+'[1]об сад нов'!K53</f>
        <v>41500.159999999996</v>
      </c>
      <c r="M53" s="258">
        <f>'[1]нов сад'!K53</f>
        <v>41500.159999999996</v>
      </c>
      <c r="N53" s="2"/>
      <c r="S53" s="259">
        <f t="shared" si="0"/>
        <v>135192</v>
      </c>
    </row>
    <row r="54" spans="1:33" ht="24" customHeight="1">
      <c r="A54" s="1273"/>
      <c r="B54" s="417" t="s">
        <v>87</v>
      </c>
      <c r="C54" s="1275"/>
      <c r="D54" s="297">
        <f>'нов сад'!D54+'проточ ссап'!D54</f>
        <v>1</v>
      </c>
      <c r="E54" s="297">
        <f>'нов сад'!E54+'проточ ссап'!E54</f>
        <v>3275</v>
      </c>
      <c r="F54" s="297">
        <f>'нов сад'!F54+'проточ ссап'!F54</f>
        <v>3275</v>
      </c>
      <c r="G54" s="297">
        <f>'нов сад'!G54+'проточ ссап'!G54</f>
        <v>0</v>
      </c>
      <c r="H54" s="297">
        <f>'нов сад'!H54+'проточ ссап'!H54</f>
        <v>491.25</v>
      </c>
      <c r="I54" s="297">
        <f>'нов сад'!I54+'проточ ссап'!I54</f>
        <v>2259.75</v>
      </c>
      <c r="J54" s="297">
        <f>'нов сад'!J54+'проточ ссап'!J54</f>
        <v>6026</v>
      </c>
      <c r="K54" s="297">
        <f>'нов сад'!K54+'проточ ссап'!K54</f>
        <v>72312</v>
      </c>
      <c r="L54" s="322">
        <f>'[1]проточ ссап'!K54+'[1]об сад нов'!K54</f>
        <v>22197.760000000002</v>
      </c>
      <c r="M54" s="258">
        <f>'[1]нов сад'!K54</f>
        <v>22197.760000000002</v>
      </c>
      <c r="S54" s="259">
        <f t="shared" si="0"/>
        <v>72312</v>
      </c>
    </row>
    <row r="55" spans="1:33" ht="36.75" customHeight="1">
      <c r="A55" s="1273"/>
      <c r="B55" s="417" t="s">
        <v>179</v>
      </c>
      <c r="C55" s="1275"/>
      <c r="D55" s="297">
        <f>'нов сад'!D55+'проточ ссап'!D55</f>
        <v>2.25</v>
      </c>
      <c r="E55" s="297">
        <f>'нов сад'!E55+'проточ ссап'!E55</f>
        <v>6550</v>
      </c>
      <c r="F55" s="297">
        <f>'нов сад'!F55+'проточ ссап'!F55</f>
        <v>7368.75</v>
      </c>
      <c r="G55" s="297">
        <f>'нов сад'!G55+'проточ ссап'!G55</f>
        <v>425.75</v>
      </c>
      <c r="H55" s="297">
        <f>'нов сад'!H55+'проточ ссап'!H55</f>
        <v>1350.94</v>
      </c>
      <c r="I55" s="297">
        <f>'нов сад'!I55+'проточ ссап'!I55</f>
        <v>5487.2640000000001</v>
      </c>
      <c r="J55" s="297">
        <f>'нов сад'!J55+'проточ ссап'!J55</f>
        <v>14632.704</v>
      </c>
      <c r="K55" s="297">
        <f>'нов сад'!K55+'проточ ссап'!K55</f>
        <v>167025.02399999998</v>
      </c>
      <c r="L55" s="322">
        <f>'[1]проточ ссап'!K55+'[1]об сад нов'!K55</f>
        <v>59161.856</v>
      </c>
      <c r="M55" s="258">
        <f>'[1]нов сад'!K55</f>
        <v>48642.047999999995</v>
      </c>
      <c r="N55" s="2"/>
      <c r="S55" s="259">
        <f t="shared" si="0"/>
        <v>175592.448</v>
      </c>
      <c r="AG55" s="2"/>
    </row>
    <row r="56" spans="1:33" ht="25.5" customHeight="1">
      <c r="A56" s="1273"/>
      <c r="B56" s="417" t="s">
        <v>180</v>
      </c>
      <c r="C56" s="1275"/>
      <c r="D56" s="297">
        <f>'нов сад'!D56+'проточ ссап'!D56</f>
        <v>1</v>
      </c>
      <c r="E56" s="297">
        <f>'нов сад'!E56+'проточ ссап'!E56</f>
        <v>3275</v>
      </c>
      <c r="F56" s="297">
        <f>'нов сад'!F56+'проточ ссап'!F56</f>
        <v>3275</v>
      </c>
      <c r="G56" s="297">
        <f>'нов сад'!G56+'проточ ссап'!G56</f>
        <v>0</v>
      </c>
      <c r="H56" s="297">
        <f>'нов сад'!H56+'проточ ссап'!H56</f>
        <v>491.25</v>
      </c>
      <c r="I56" s="297">
        <f>'нов сад'!I56+'проточ ссап'!I56</f>
        <v>2259.75</v>
      </c>
      <c r="J56" s="297">
        <f>'нов сад'!J56+'проточ ссап'!J56</f>
        <v>6026</v>
      </c>
      <c r="K56" s="297">
        <f>'нов сад'!K56+'проточ ссап'!K56</f>
        <v>72312</v>
      </c>
      <c r="L56" s="322">
        <f>'[1]проточ ссап'!K56+'[1]об сад нов'!K56</f>
        <v>22197.760000000002</v>
      </c>
      <c r="M56" s="258">
        <f>'[1]нов сад'!K56</f>
        <v>22197.760000000002</v>
      </c>
      <c r="S56" s="259">
        <f t="shared" si="0"/>
        <v>72312</v>
      </c>
      <c r="AG56" s="2"/>
    </row>
    <row r="57" spans="1:33" ht="31.5" customHeight="1">
      <c r="A57" s="1273"/>
      <c r="B57" s="417" t="s">
        <v>85</v>
      </c>
      <c r="C57" s="1275"/>
      <c r="D57" s="297">
        <f>'нов сад'!D57+'проточ ссап'!D57</f>
        <v>2</v>
      </c>
      <c r="E57" s="297">
        <f>'нов сад'!E57+'проточ ссап'!E57</f>
        <v>3275</v>
      </c>
      <c r="F57" s="297">
        <f>'нов сад'!F57+'проточ ссап'!F57</f>
        <v>6550</v>
      </c>
      <c r="G57" s="297">
        <f>'нов сад'!G57+'проточ ссап'!G57</f>
        <v>0</v>
      </c>
      <c r="H57" s="297">
        <f>'нов сад'!H57+'проточ ссап'!H57</f>
        <v>491.25</v>
      </c>
      <c r="I57" s="297">
        <f>'нов сад'!I57+'проточ ссап'!I57</f>
        <v>4224.75</v>
      </c>
      <c r="J57" s="297">
        <f>'нов сад'!J57+'проточ ссап'!J57</f>
        <v>11266</v>
      </c>
      <c r="K57" s="297">
        <f>'нов сад'!K57+'проточ ссап'!K57</f>
        <v>135192</v>
      </c>
      <c r="L57" s="322">
        <f>'[1]проточ ссап'!K57+'[1]об сад нов'!K57</f>
        <v>46325.759999999995</v>
      </c>
      <c r="M57" s="258">
        <f>'[1]нов сад'!K57</f>
        <v>46325.759999999995</v>
      </c>
      <c r="N57" s="2"/>
      <c r="S57" s="259">
        <f t="shared" si="0"/>
        <v>135192</v>
      </c>
      <c r="AG57" s="2"/>
    </row>
    <row r="58" spans="1:33" ht="36">
      <c r="A58" s="1273"/>
      <c r="B58" s="417" t="s">
        <v>181</v>
      </c>
      <c r="C58" s="1275"/>
      <c r="D58" s="297">
        <f>'нов сад'!D58+'проточ ссап'!D58</f>
        <v>1</v>
      </c>
      <c r="E58" s="297">
        <f>'нов сад'!E58+'проточ ссап'!E58</f>
        <v>3275</v>
      </c>
      <c r="F58" s="297">
        <f>'нов сад'!F58+'проточ ссап'!F58</f>
        <v>3275</v>
      </c>
      <c r="G58" s="297">
        <f>'нов сад'!G58+'проточ ссап'!G58</f>
        <v>0</v>
      </c>
      <c r="H58" s="297">
        <f>'нов сад'!H58+'проточ ссап'!H58</f>
        <v>163.75</v>
      </c>
      <c r="I58" s="297">
        <f>'нов сад'!I58+'проточ ссап'!I58</f>
        <v>2063.25</v>
      </c>
      <c r="J58" s="297">
        <f>'нов сад'!J58+'проточ ссап'!J58</f>
        <v>5502</v>
      </c>
      <c r="K58" s="297">
        <f>'нов сад'!K58+'проточ ссап'!K58</f>
        <v>66024</v>
      </c>
      <c r="L58" s="322">
        <f>'[1]проточ ссап'!K58+'[1]об сад нов'!K58</f>
        <v>20267.52</v>
      </c>
      <c r="M58" s="258">
        <f>'[1]нов сад'!K58</f>
        <v>20267.52</v>
      </c>
      <c r="N58" s="2"/>
      <c r="S58" s="259">
        <f t="shared" si="0"/>
        <v>66024</v>
      </c>
      <c r="AG58" s="2"/>
    </row>
    <row r="59" spans="1:33" ht="24" customHeight="1">
      <c r="A59" s="1273"/>
      <c r="B59" s="417" t="s">
        <v>82</v>
      </c>
      <c r="C59" s="1275"/>
      <c r="D59" s="297">
        <f>'нов сад'!D59+'проточ ссап'!D59</f>
        <v>7</v>
      </c>
      <c r="E59" s="297">
        <f>'нов сад'!E59+'проточ ссап'!E59</f>
        <v>6550</v>
      </c>
      <c r="F59" s="297">
        <f>'нов сад'!F59+'проточ ссап'!F59</f>
        <v>22925</v>
      </c>
      <c r="G59" s="297">
        <f>'нов сад'!G59+'проточ ссап'!G59</f>
        <v>5158.125</v>
      </c>
      <c r="H59" s="297">
        <f>'нов сад'!H59+'проточ ссап'!H59</f>
        <v>3766.25</v>
      </c>
      <c r="I59" s="297">
        <f>'нов сад'!I59+'проточ ссап'!I59</f>
        <v>19109.625</v>
      </c>
      <c r="J59" s="297">
        <f>'нов сад'!J59+'проточ ссап'!J59</f>
        <v>50959</v>
      </c>
      <c r="K59" s="297">
        <f>'нов сад'!K59+'проточ ссап'!K59</f>
        <v>575352</v>
      </c>
      <c r="L59" s="322">
        <f>'[1]проточ ссап'!K59+'[1]об сад нов'!K59</f>
        <v>209913.60000000003</v>
      </c>
      <c r="M59" s="258">
        <f>'[1]нов сад'!K59</f>
        <v>165518.08000000002</v>
      </c>
      <c r="N59" s="2"/>
      <c r="S59" s="259">
        <f t="shared" si="0"/>
        <v>611508</v>
      </c>
      <c r="AG59" s="2"/>
    </row>
    <row r="60" spans="1:33" ht="16.5" customHeight="1">
      <c r="A60" s="1273"/>
      <c r="B60" s="417" t="s">
        <v>88</v>
      </c>
      <c r="C60" s="419" t="s">
        <v>90</v>
      </c>
      <c r="D60" s="297">
        <f>'нов сад'!D60+'проточ ссап'!D60</f>
        <v>2</v>
      </c>
      <c r="E60" s="297">
        <f>'нов сад'!E60+'проточ ссап'!E60</f>
        <v>3275</v>
      </c>
      <c r="F60" s="297">
        <f>'нов сад'!F60+'проточ ссап'!F60</f>
        <v>6550</v>
      </c>
      <c r="G60" s="297">
        <f>'нов сад'!G60+'проточ ссап'!G60</f>
        <v>0</v>
      </c>
      <c r="H60" s="297">
        <f>'нов сад'!H60+'проточ ссап'!H60</f>
        <v>655</v>
      </c>
      <c r="I60" s="297">
        <f>'нов сад'!I60+'проточ ссап'!I60</f>
        <v>4323</v>
      </c>
      <c r="J60" s="297">
        <f>'нов сад'!J60+'проточ ссап'!J60</f>
        <v>11528</v>
      </c>
      <c r="K60" s="297">
        <f>'нов сад'!K60+'проточ ссап'!K60</f>
        <v>138336</v>
      </c>
      <c r="L60" s="322">
        <f>'[1]проточ ссап'!K60+'[1]об сад нов'!K60</f>
        <v>42465.279999999999</v>
      </c>
      <c r="M60" s="258">
        <f>'[1]нов сад'!K60</f>
        <v>42465.279999999999</v>
      </c>
      <c r="S60" s="259">
        <f t="shared" si="0"/>
        <v>138336</v>
      </c>
    </row>
    <row r="61" spans="1:33" ht="23.25" customHeight="1" thickBot="1">
      <c r="A61" s="1424"/>
      <c r="B61" s="417" t="s">
        <v>182</v>
      </c>
      <c r="C61" s="419" t="s">
        <v>90</v>
      </c>
      <c r="D61" s="297">
        <f>'нов сад'!D61+'проточ ссап'!D61</f>
        <v>4</v>
      </c>
      <c r="E61" s="297">
        <f>'нов сад'!E61+'проточ ссап'!E61</f>
        <v>3275</v>
      </c>
      <c r="F61" s="297">
        <f>'нов сад'!F61+'проточ ссап'!F61</f>
        <v>13100</v>
      </c>
      <c r="G61" s="297">
        <f>'нов сад'!G61+'проточ ссап'!G61</f>
        <v>4585</v>
      </c>
      <c r="H61" s="297">
        <f>'нов сад'!H61+'проточ ссап'!H61</f>
        <v>3275</v>
      </c>
      <c r="I61" s="297">
        <f>'нов сад'!I61+'проточ ссап'!I61</f>
        <v>12576</v>
      </c>
      <c r="J61" s="297">
        <f>'нов сад'!J61+'проточ ссап'!J61</f>
        <v>33536</v>
      </c>
      <c r="K61" s="297">
        <f>'нов сад'!K61+'проточ ссап'!K61</f>
        <v>201216</v>
      </c>
      <c r="L61" s="322">
        <f>'[1]проточ ссап'!K61+'[1]об сад нов'!K61</f>
        <v>216186.87999999998</v>
      </c>
      <c r="M61" s="258">
        <f>'[1]нов сад'!K61</f>
        <v>0</v>
      </c>
      <c r="S61" s="259">
        <f t="shared" si="0"/>
        <v>402432</v>
      </c>
    </row>
    <row r="62" spans="1:33" ht="27.75" customHeight="1" thickBot="1">
      <c r="A62" s="214"/>
      <c r="B62" s="220" t="s">
        <v>68</v>
      </c>
      <c r="C62" s="215"/>
      <c r="D62" s="222">
        <f t="shared" ref="D62:K62" si="5">SUM(D50:D61)</f>
        <v>28.25</v>
      </c>
      <c r="E62" s="221">
        <f t="shared" si="5"/>
        <v>51497</v>
      </c>
      <c r="F62" s="222">
        <f t="shared" si="5"/>
        <v>94890.75</v>
      </c>
      <c r="G62" s="222">
        <f t="shared" si="5"/>
        <v>13833.315000000001</v>
      </c>
      <c r="H62" s="222">
        <f t="shared" si="5"/>
        <v>15371.44</v>
      </c>
      <c r="I62" s="221">
        <f t="shared" si="5"/>
        <v>74457.303</v>
      </c>
      <c r="J62" s="222">
        <f t="shared" si="5"/>
        <v>198552.80800000002</v>
      </c>
      <c r="K62" s="310">
        <f t="shared" si="5"/>
        <v>2093621.4720000001</v>
      </c>
      <c r="L62" s="322">
        <f>'[1]проточ ссап'!K62+'[1]об сад нов'!K62</f>
        <v>882767.29600000009</v>
      </c>
      <c r="M62" s="258">
        <f>'[1]нов сад'!K62</f>
        <v>558776.5120000001</v>
      </c>
      <c r="S62" s="259">
        <f t="shared" si="0"/>
        <v>2382633.6960000005</v>
      </c>
    </row>
    <row r="63" spans="1:33" ht="28.5" customHeight="1">
      <c r="A63" s="415"/>
      <c r="B63" s="306" t="s">
        <v>56</v>
      </c>
      <c r="C63" s="279"/>
      <c r="D63" s="297">
        <f>'нов сад'!D63+'проточ ссап'!D63</f>
        <v>0</v>
      </c>
      <c r="E63" s="297">
        <f>'нов сад'!E63+'проточ ссап'!E63</f>
        <v>0</v>
      </c>
      <c r="F63" s="297">
        <f>'нов сад'!F63+'проточ ссап'!F63</f>
        <v>0</v>
      </c>
      <c r="G63" s="297">
        <f>'нов сад'!G63+'проточ ссап'!G63</f>
        <v>0</v>
      </c>
      <c r="H63" s="297">
        <f>'нов сад'!H63+'проточ ссап'!H63</f>
        <v>0</v>
      </c>
      <c r="I63" s="297">
        <f>'нов сад'!I63+'проточ ссап'!I63</f>
        <v>0</v>
      </c>
      <c r="J63" s="297">
        <f>'нов сад'!J63+'проточ ссап'!J63</f>
        <v>29782.921199999997</v>
      </c>
      <c r="K63" s="297">
        <f>'нов сад'!K63+'проточ ссап'!K63</f>
        <v>314043.22080000001</v>
      </c>
      <c r="L63" s="322">
        <f>'[1]проточ ссап'!K63+'[1]об сад нов'!K63</f>
        <v>132415.0944</v>
      </c>
      <c r="M63" s="258">
        <f>'[1]нов сад'!K63</f>
        <v>83816.476800000019</v>
      </c>
      <c r="S63" s="259">
        <f t="shared" si="0"/>
        <v>357395.05439999996</v>
      </c>
      <c r="AG63" s="2"/>
    </row>
    <row r="64" spans="1:33" ht="43.5" customHeight="1">
      <c r="A64" s="417"/>
      <c r="B64" s="309" t="s">
        <v>78</v>
      </c>
      <c r="C64" s="419"/>
      <c r="D64" s="297">
        <f>'нов сад'!D64+'проточ ссап'!D64</f>
        <v>0</v>
      </c>
      <c r="E64" s="297">
        <f>'нов сад'!E64+'проточ ссап'!E64</f>
        <v>0</v>
      </c>
      <c r="F64" s="297">
        <f>'нов сад'!F64+'проточ ссап'!F64</f>
        <v>0</v>
      </c>
      <c r="G64" s="297">
        <f>'нов сад'!G64+'проточ ссап'!G64</f>
        <v>0</v>
      </c>
      <c r="H64" s="297">
        <f>'нов сад'!H64+'проточ ссап'!H64</f>
        <v>0</v>
      </c>
      <c r="I64" s="297">
        <f>'нов сад'!I64+'проточ ссап'!I64</f>
        <v>0</v>
      </c>
      <c r="J64" s="297">
        <f>'нов сад'!J64+'проточ ссап'!J64</f>
        <v>462292.02</v>
      </c>
      <c r="K64" s="297">
        <f>'нов сад'!K64+'проточ ссап'!K64</f>
        <v>4963105.8000000007</v>
      </c>
      <c r="L64" s="322">
        <f>'[1]проточ ссап'!K64+'[1]об сад нов'!K64</f>
        <v>1419211</v>
      </c>
      <c r="M64" s="258">
        <f>'[1]нов сад'!K64</f>
        <v>1158591</v>
      </c>
      <c r="S64" s="259">
        <f t="shared" si="0"/>
        <v>5547504.2400000002</v>
      </c>
    </row>
    <row r="65" spans="1:29" ht="35.25" customHeight="1" thickBot="1">
      <c r="A65" s="418"/>
      <c r="B65" s="415" t="s">
        <v>172</v>
      </c>
      <c r="C65" s="209"/>
      <c r="D65" s="297">
        <f>'нов сад'!D65+'проточ ссап'!D65</f>
        <v>0</v>
      </c>
      <c r="E65" s="297">
        <f>'нов сад'!E65+'проточ ссап'!E65</f>
        <v>0</v>
      </c>
      <c r="F65" s="297">
        <f>'нов сад'!F65+'проточ ссап'!F65</f>
        <v>0</v>
      </c>
      <c r="G65" s="297">
        <f>'нов сад'!G65+'проточ ссап'!G65</f>
        <v>0</v>
      </c>
      <c r="H65" s="297">
        <f>'нов сад'!H65+'проточ ссап'!H65</f>
        <v>0</v>
      </c>
      <c r="I65" s="297">
        <f>'нов сад'!I65+'проточ ссап'!I65</f>
        <v>0</v>
      </c>
      <c r="J65" s="297">
        <f>'нов сад'!J65+'проточ ссап'!J65</f>
        <v>0</v>
      </c>
      <c r="K65" s="297">
        <f>'нов сад'!K65+'проточ ссап'!K65</f>
        <v>0</v>
      </c>
      <c r="L65" s="322">
        <f>'[1]проточ ссап'!K65+'[1]об сад нов'!K65</f>
        <v>132840</v>
      </c>
      <c r="M65" s="258">
        <f>'[1]нов сад'!K65</f>
        <v>132840</v>
      </c>
      <c r="S65" s="259">
        <f t="shared" si="0"/>
        <v>0</v>
      </c>
    </row>
    <row r="66" spans="1:29" ht="24.75" customHeight="1" thickBot="1">
      <c r="A66" s="340"/>
      <c r="B66" s="341" t="s">
        <v>103</v>
      </c>
      <c r="C66" s="215"/>
      <c r="D66" s="222">
        <f>D62+D63+D64+D65</f>
        <v>28.25</v>
      </c>
      <c r="E66" s="222">
        <f t="shared" ref="E66:K66" si="6">E62+E63+E64+E65</f>
        <v>51497</v>
      </c>
      <c r="F66" s="222">
        <f t="shared" si="6"/>
        <v>94890.75</v>
      </c>
      <c r="G66" s="222">
        <f t="shared" si="6"/>
        <v>13833.315000000001</v>
      </c>
      <c r="H66" s="222">
        <f t="shared" si="6"/>
        <v>15371.44</v>
      </c>
      <c r="I66" s="222">
        <f t="shared" si="6"/>
        <v>74457.303</v>
      </c>
      <c r="J66" s="222">
        <f t="shared" si="6"/>
        <v>690627.74919999996</v>
      </c>
      <c r="K66" s="222">
        <f t="shared" si="6"/>
        <v>7370770.4928000011</v>
      </c>
      <c r="L66" s="322">
        <f>'[1]проточ ссап'!K66+'[1]об сад нов'!K66</f>
        <v>2567233.3903999999</v>
      </c>
      <c r="M66" s="258">
        <f>'[1]нов сад'!K66</f>
        <v>1934023.9888000002</v>
      </c>
      <c r="S66" s="259">
        <f t="shared" si="0"/>
        <v>8287532.9903999995</v>
      </c>
    </row>
    <row r="67" spans="1:29" ht="18.75" customHeight="1" thickBot="1">
      <c r="B67" s="301" t="s">
        <v>149</v>
      </c>
      <c r="C67" s="302"/>
      <c r="D67" s="320">
        <f>D33+D48+D66</f>
        <v>78.474999999999994</v>
      </c>
      <c r="E67" s="303">
        <f t="shared" ref="E67:K67" si="7">E33+E48+E66</f>
        <v>191770</v>
      </c>
      <c r="F67" s="303">
        <f t="shared" si="7"/>
        <v>459403.47</v>
      </c>
      <c r="G67" s="303">
        <f t="shared" si="7"/>
        <v>94033.065000000002</v>
      </c>
      <c r="H67" s="303">
        <f t="shared" si="7"/>
        <v>88335.35</v>
      </c>
      <c r="I67" s="303">
        <f t="shared" si="7"/>
        <v>385063.13099999999</v>
      </c>
      <c r="J67" s="303">
        <f t="shared" si="7"/>
        <v>2464825.6272</v>
      </c>
      <c r="K67" s="303">
        <f t="shared" si="7"/>
        <v>27952915.564800002</v>
      </c>
      <c r="L67" s="322">
        <f>'[1]проточ ссап'!K67+'[1]об сад нов'!K67</f>
        <v>9494375.998399999</v>
      </c>
      <c r="M67" s="258">
        <f>'[1]нов сад'!K67</f>
        <v>8058094.9008000009</v>
      </c>
      <c r="S67" s="259">
        <f t="shared" si="0"/>
        <v>29577907.5264</v>
      </c>
    </row>
    <row r="69" spans="1:29">
      <c r="B69" s="252" t="s">
        <v>99</v>
      </c>
      <c r="H69" s="252" t="s">
        <v>127</v>
      </c>
      <c r="K69" s="253"/>
    </row>
    <row r="70" spans="1:29">
      <c r="J70" s="254"/>
    </row>
    <row r="71" spans="1:29">
      <c r="D71" s="258"/>
    </row>
    <row r="72" spans="1:29">
      <c r="A72" s="1269" t="s">
        <v>151</v>
      </c>
      <c r="B72" s="1270"/>
      <c r="C72" s="1270"/>
      <c r="D72" s="242">
        <f>D33</f>
        <v>22</v>
      </c>
      <c r="E72" s="242">
        <f t="shared" ref="E72:K72" si="8">E33</f>
        <v>77430</v>
      </c>
      <c r="F72" s="242">
        <f t="shared" si="8"/>
        <v>137700</v>
      </c>
      <c r="G72" s="242">
        <f t="shared" si="8"/>
        <v>26708.75</v>
      </c>
      <c r="H72" s="242">
        <f t="shared" si="8"/>
        <v>26527.75</v>
      </c>
      <c r="I72" s="242">
        <f t="shared" si="8"/>
        <v>114561.9</v>
      </c>
      <c r="J72" s="242">
        <f t="shared" si="8"/>
        <v>604342.88</v>
      </c>
      <c r="K72" s="242">
        <f t="shared" si="8"/>
        <v>6913554</v>
      </c>
      <c r="Z72" s="259"/>
      <c r="AA72" s="259"/>
      <c r="AB72" s="2"/>
      <c r="AC72" s="259"/>
    </row>
    <row r="73" spans="1:29" ht="12" customHeight="1">
      <c r="A73" s="1314" t="s">
        <v>153</v>
      </c>
      <c r="B73" s="1419"/>
      <c r="C73" s="256"/>
      <c r="D73" s="242">
        <f>D48</f>
        <v>28.225000000000001</v>
      </c>
      <c r="E73" s="242">
        <f t="shared" ref="E73:K73" si="9">E48</f>
        <v>62843</v>
      </c>
      <c r="F73" s="242">
        <f t="shared" si="9"/>
        <v>226812.72</v>
      </c>
      <c r="G73" s="242">
        <f t="shared" si="9"/>
        <v>53491</v>
      </c>
      <c r="H73" s="242">
        <f t="shared" si="9"/>
        <v>46436.159999999996</v>
      </c>
      <c r="I73" s="242">
        <f t="shared" si="9"/>
        <v>196043.92799999999</v>
      </c>
      <c r="J73" s="242">
        <f t="shared" si="9"/>
        <v>1169854.9979999999</v>
      </c>
      <c r="K73" s="242">
        <f t="shared" si="9"/>
        <v>13668591.072000001</v>
      </c>
      <c r="P73" s="259"/>
    </row>
    <row r="74" spans="1:29" ht="12" customHeight="1">
      <c r="A74" s="1276" t="s">
        <v>152</v>
      </c>
      <c r="B74" s="1275"/>
      <c r="C74" s="1275"/>
      <c r="D74" s="257">
        <f>D66</f>
        <v>28.25</v>
      </c>
      <c r="E74" s="257">
        <f t="shared" ref="E74:K74" si="10">E66</f>
        <v>51497</v>
      </c>
      <c r="F74" s="257">
        <f t="shared" si="10"/>
        <v>94890.75</v>
      </c>
      <c r="G74" s="257">
        <f t="shared" si="10"/>
        <v>13833.315000000001</v>
      </c>
      <c r="H74" s="257">
        <f t="shared" si="10"/>
        <v>15371.44</v>
      </c>
      <c r="I74" s="257">
        <f t="shared" si="10"/>
        <v>74457.303</v>
      </c>
      <c r="J74" s="257">
        <f t="shared" si="10"/>
        <v>690627.74919999996</v>
      </c>
      <c r="K74" s="257">
        <f t="shared" si="10"/>
        <v>7370770.4928000011</v>
      </c>
    </row>
    <row r="75" spans="1:29">
      <c r="D75" s="321">
        <f>SUM(D72:D74)</f>
        <v>78.474999999999994</v>
      </c>
      <c r="E75" s="258">
        <f t="shared" ref="E75:J75" si="11">SUM(E72:E74)</f>
        <v>191770</v>
      </c>
      <c r="F75" s="258">
        <f t="shared" si="11"/>
        <v>459403.47</v>
      </c>
      <c r="G75" s="258">
        <f t="shared" si="11"/>
        <v>94033.065000000002</v>
      </c>
      <c r="H75" s="258">
        <f t="shared" si="11"/>
        <v>88335.35</v>
      </c>
      <c r="I75" s="258">
        <f t="shared" si="11"/>
        <v>385063.13099999999</v>
      </c>
      <c r="J75" s="258">
        <f t="shared" si="11"/>
        <v>2464825.6272</v>
      </c>
      <c r="K75" s="258">
        <f>SUM(K71:K74)</f>
        <v>27952915.564800002</v>
      </c>
    </row>
    <row r="76" spans="1:29">
      <c r="J76" s="258"/>
    </row>
    <row r="77" spans="1:29">
      <c r="J77" s="258"/>
    </row>
    <row r="78" spans="1:29">
      <c r="J78" s="258"/>
    </row>
    <row r="80" spans="1:29">
      <c r="J80" s="258"/>
    </row>
    <row r="82" spans="4:11">
      <c r="D82" s="323">
        <f>'нов сад'!D75+'проточ ссап'!D75</f>
        <v>72.224999999999994</v>
      </c>
    </row>
    <row r="83" spans="4:11">
      <c r="K83" s="258">
        <f>'нов сад'!K75+'проточ ссап'!K75</f>
        <v>27952915.564800002</v>
      </c>
    </row>
    <row r="84" spans="4:11">
      <c r="K84" s="258"/>
    </row>
    <row r="86" spans="4:11">
      <c r="K86" s="258">
        <f>K67-K83</f>
        <v>0</v>
      </c>
    </row>
    <row r="87" spans="4:11">
      <c r="K87" s="258"/>
    </row>
  </sheetData>
  <mergeCells count="30">
    <mergeCell ref="A7:K7"/>
    <mergeCell ref="I1:K1"/>
    <mergeCell ref="BS1:CJ1"/>
    <mergeCell ref="BU4:CJ4"/>
    <mergeCell ref="BU5:CJ5"/>
    <mergeCell ref="A6:K6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G16:H16"/>
    <mergeCell ref="I16:I17"/>
    <mergeCell ref="J16:J17"/>
    <mergeCell ref="K16:K17"/>
    <mergeCell ref="B18:K18"/>
    <mergeCell ref="A73:B73"/>
    <mergeCell ref="A19:A33"/>
    <mergeCell ref="A74:C74"/>
    <mergeCell ref="A34:A44"/>
    <mergeCell ref="B34:K34"/>
    <mergeCell ref="A49:A61"/>
    <mergeCell ref="C49:K49"/>
    <mergeCell ref="C50:C59"/>
    <mergeCell ref="A72:C72"/>
  </mergeCells>
  <pageMargins left="0.46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U60"/>
  <sheetViews>
    <sheetView topLeftCell="A4" workbookViewId="0">
      <selection sqref="A1:XFD1048576"/>
    </sheetView>
  </sheetViews>
  <sheetFormatPr defaultRowHeight="12.75"/>
  <cols>
    <col min="1" max="1" width="12.140625" style="364" customWidth="1"/>
    <col min="2" max="2" width="20.42578125" style="364" customWidth="1"/>
    <col min="3" max="3" width="6.42578125" style="364" hidden="1" customWidth="1"/>
    <col min="4" max="4" width="8.140625" style="364" customWidth="1"/>
    <col min="5" max="5" width="11.5703125" style="364" customWidth="1"/>
    <col min="6" max="6" width="15.42578125" style="364" customWidth="1"/>
    <col min="7" max="7" width="11" style="364" customWidth="1"/>
    <col min="8" max="8" width="11.140625" style="364" customWidth="1"/>
    <col min="9" max="10" width="13.28515625" style="364" customWidth="1"/>
    <col min="11" max="11" width="13.85546875" style="364" customWidth="1"/>
    <col min="12" max="12" width="17.5703125" style="364" hidden="1" customWidth="1"/>
    <col min="13" max="13" width="9.28515625" style="364" customWidth="1"/>
    <col min="14" max="26" width="9.140625" style="364" customWidth="1"/>
    <col min="27" max="27" width="6.85546875" style="364" customWidth="1"/>
    <col min="28" max="28" width="4" style="364" customWidth="1"/>
    <col min="29" max="38" width="9.140625" style="364" customWidth="1"/>
    <col min="39" max="39" width="7.28515625" style="364" customWidth="1"/>
    <col min="40" max="40" width="9.140625" style="364" customWidth="1"/>
    <col min="41" max="41" width="9.140625" style="364"/>
    <col min="42" max="42" width="12" style="364" customWidth="1"/>
    <col min="43" max="43" width="9.140625" style="364"/>
    <col min="44" max="52" width="9.140625" style="364" customWidth="1"/>
    <col min="53" max="53" width="11.5703125" style="364" customWidth="1"/>
    <col min="54" max="54" width="9.140625" style="364"/>
    <col min="55" max="55" width="11.7109375" style="364" customWidth="1"/>
    <col min="56" max="56" width="2.5703125" style="364" customWidth="1"/>
    <col min="57" max="57" width="13" style="364" customWidth="1"/>
    <col min="58" max="58" width="12.42578125" style="364" customWidth="1"/>
    <col min="59" max="59" width="5.140625" style="364" customWidth="1"/>
    <col min="60" max="73" width="9.140625" style="364" customWidth="1"/>
    <col min="74" max="16384" width="9.140625" style="364"/>
  </cols>
  <sheetData>
    <row r="1" spans="1:73" ht="57" customHeight="1">
      <c r="A1" s="363"/>
      <c r="B1" s="363"/>
      <c r="C1" s="363"/>
      <c r="D1" s="363"/>
      <c r="E1" s="363"/>
      <c r="F1" s="363"/>
      <c r="G1" s="363"/>
      <c r="H1" s="363"/>
      <c r="I1" s="1306" t="s">
        <v>0</v>
      </c>
      <c r="J1" s="1307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1308"/>
      <c r="BE1" s="1308"/>
      <c r="BF1" s="1308"/>
      <c r="BG1" s="1308"/>
      <c r="BH1" s="1308"/>
      <c r="BI1" s="1308"/>
      <c r="BJ1" s="1308"/>
      <c r="BK1" s="1308"/>
      <c r="BL1" s="1308"/>
      <c r="BM1" s="1308"/>
      <c r="BN1" s="1308"/>
      <c r="BO1" s="1308"/>
      <c r="BP1" s="1308"/>
      <c r="BQ1" s="1308"/>
      <c r="BR1" s="1308"/>
      <c r="BS1" s="1308"/>
      <c r="BT1" s="1308"/>
      <c r="BU1" s="1308"/>
    </row>
    <row r="2" spans="1:73">
      <c r="F2" s="363" t="s">
        <v>2</v>
      </c>
      <c r="G2" s="363"/>
      <c r="H2" s="365" t="s">
        <v>1</v>
      </c>
    </row>
    <row r="3" spans="1:73">
      <c r="A3" s="363"/>
      <c r="B3" s="363"/>
      <c r="C3" s="363"/>
      <c r="D3" s="363"/>
      <c r="E3" s="363"/>
      <c r="F3" s="363" t="s">
        <v>4</v>
      </c>
      <c r="G3" s="363"/>
      <c r="H3" s="365" t="s">
        <v>3</v>
      </c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1309"/>
      <c r="BG3" s="1309"/>
      <c r="BH3" s="1309"/>
      <c r="BI3" s="1309"/>
      <c r="BJ3" s="1309"/>
      <c r="BK3" s="1309"/>
      <c r="BL3" s="1309"/>
      <c r="BM3" s="1309"/>
      <c r="BN3" s="1309"/>
      <c r="BO3" s="1309"/>
      <c r="BP3" s="1309"/>
      <c r="BQ3" s="1309"/>
      <c r="BR3" s="1309"/>
      <c r="BS3" s="1309"/>
      <c r="BT3" s="1309"/>
      <c r="BU3" s="1309"/>
    </row>
    <row r="4" spans="1:73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1309"/>
      <c r="BG4" s="1309"/>
      <c r="BH4" s="1309"/>
      <c r="BI4" s="1309"/>
      <c r="BJ4" s="1309"/>
      <c r="BK4" s="1309"/>
      <c r="BL4" s="1309"/>
      <c r="BM4" s="1309"/>
      <c r="BN4" s="1309"/>
      <c r="BO4" s="1309"/>
      <c r="BP4" s="1309"/>
      <c r="BQ4" s="1309"/>
      <c r="BR4" s="1309"/>
      <c r="BS4" s="1309"/>
      <c r="BT4" s="1309"/>
      <c r="BU4" s="1309"/>
    </row>
    <row r="5" spans="1:73" ht="19.5" customHeight="1">
      <c r="A5" s="1438"/>
      <c r="B5" s="1410"/>
      <c r="C5" s="1410"/>
      <c r="D5" s="1410"/>
      <c r="E5" s="1410"/>
      <c r="F5" s="1410"/>
      <c r="G5" s="1410"/>
      <c r="H5" s="1410"/>
      <c r="I5" s="1410"/>
      <c r="J5" s="1410"/>
      <c r="K5" s="1410"/>
    </row>
    <row r="6" spans="1:73">
      <c r="A6" s="800"/>
      <c r="B6" s="801"/>
      <c r="C6" s="1437" t="s">
        <v>137</v>
      </c>
      <c r="D6" s="1437"/>
      <c r="E6" s="1437"/>
      <c r="F6" s="1437"/>
      <c r="G6" s="1437"/>
      <c r="H6" s="1437"/>
      <c r="I6" s="1437"/>
      <c r="J6" s="1437"/>
      <c r="K6" s="1437"/>
    </row>
    <row r="7" spans="1:73">
      <c r="A7" s="439"/>
      <c r="B7" s="439"/>
      <c r="C7" s="440"/>
      <c r="D7" s="440"/>
      <c r="E7" s="440"/>
      <c r="F7" s="440"/>
      <c r="G7" s="440"/>
      <c r="H7" s="440"/>
      <c r="I7" s="439"/>
      <c r="J7" s="439"/>
    </row>
    <row r="8" spans="1:73" ht="29.25" customHeight="1">
      <c r="A8" s="439"/>
      <c r="B8" s="439"/>
      <c r="C8" s="440"/>
      <c r="D8" s="440"/>
      <c r="E8" s="1312" t="s">
        <v>9</v>
      </c>
      <c r="F8" s="1312"/>
      <c r="G8" s="1312" t="s">
        <v>10</v>
      </c>
      <c r="H8" s="1312"/>
      <c r="I8" s="439"/>
      <c r="J8" s="439"/>
    </row>
    <row r="9" spans="1:73">
      <c r="B9" s="802" t="s">
        <v>11</v>
      </c>
      <c r="C9" s="440"/>
      <c r="D9" s="440"/>
      <c r="E9" s="1312">
        <v>1</v>
      </c>
      <c r="F9" s="1312"/>
      <c r="G9" s="1313" t="s">
        <v>219</v>
      </c>
      <c r="H9" s="1312"/>
      <c r="I9" s="439" t="s">
        <v>12</v>
      </c>
      <c r="J9" s="439"/>
    </row>
    <row r="10" spans="1:73">
      <c r="A10" s="439"/>
      <c r="B10" s="439"/>
      <c r="C10" s="440"/>
      <c r="D10" s="440"/>
      <c r="E10" s="440"/>
      <c r="F10" s="440"/>
      <c r="G10" s="440"/>
      <c r="H10" s="440"/>
      <c r="I10" s="440" t="s">
        <v>13</v>
      </c>
      <c r="J10" s="440"/>
    </row>
    <row r="11" spans="1:73">
      <c r="A11" s="440"/>
      <c r="B11" s="442" t="s">
        <v>220</v>
      </c>
      <c r="C11" s="442"/>
      <c r="D11" s="442"/>
      <c r="E11" s="442"/>
      <c r="F11" s="442"/>
      <c r="G11" s="442"/>
      <c r="H11" s="440"/>
      <c r="I11" s="440" t="s">
        <v>14</v>
      </c>
      <c r="J11" s="443"/>
    </row>
    <row r="12" spans="1:73">
      <c r="A12" s="440"/>
      <c r="B12" s="442"/>
      <c r="C12" s="442"/>
      <c r="D12" s="442"/>
      <c r="E12" s="442"/>
      <c r="F12" s="442"/>
      <c r="G12" s="442"/>
      <c r="H12" s="440"/>
      <c r="I12" s="440"/>
      <c r="J12" s="443">
        <f>D46</f>
        <v>6.75</v>
      </c>
    </row>
    <row r="13" spans="1:73">
      <c r="A13" s="440"/>
      <c r="B13" s="440"/>
      <c r="C13" s="440"/>
      <c r="D13" s="440"/>
      <c r="E13" s="439"/>
      <c r="F13" s="439"/>
      <c r="G13" s="439"/>
      <c r="H13" s="440"/>
      <c r="I13" s="440" t="s">
        <v>15</v>
      </c>
      <c r="J13" s="440"/>
    </row>
    <row r="14" spans="1:73">
      <c r="E14" s="449"/>
      <c r="F14" s="449"/>
      <c r="G14" s="449"/>
    </row>
    <row r="15" spans="1:73">
      <c r="A15" s="1312" t="s">
        <v>17</v>
      </c>
      <c r="B15" s="1312" t="s">
        <v>18</v>
      </c>
      <c r="C15" s="1312" t="s">
        <v>19</v>
      </c>
      <c r="D15" s="1312" t="s">
        <v>20</v>
      </c>
      <c r="E15" s="1312" t="s">
        <v>21</v>
      </c>
      <c r="F15" s="1312" t="s">
        <v>5</v>
      </c>
      <c r="G15" s="1312" t="s">
        <v>6</v>
      </c>
      <c r="H15" s="1312"/>
      <c r="I15" s="1312" t="s">
        <v>7</v>
      </c>
      <c r="J15" s="1312" t="s">
        <v>22</v>
      </c>
      <c r="K15" s="1310" t="s">
        <v>203</v>
      </c>
    </row>
    <row r="16" spans="1:73" ht="48" customHeight="1">
      <c r="A16" s="1312"/>
      <c r="B16" s="1312"/>
      <c r="C16" s="1312"/>
      <c r="D16" s="1312"/>
      <c r="E16" s="1312"/>
      <c r="F16" s="1312"/>
      <c r="G16" s="732" t="s">
        <v>24</v>
      </c>
      <c r="H16" s="732" t="s">
        <v>25</v>
      </c>
      <c r="I16" s="1312"/>
      <c r="J16" s="1312"/>
      <c r="K16" s="1311"/>
    </row>
    <row r="17" spans="1:14" ht="21.75" customHeight="1">
      <c r="A17" s="452"/>
      <c r="B17" s="1295"/>
      <c r="C17" s="1296"/>
      <c r="D17" s="1296"/>
      <c r="E17" s="1296"/>
      <c r="F17" s="1296"/>
      <c r="G17" s="1296"/>
      <c r="H17" s="1296"/>
      <c r="I17" s="1296"/>
      <c r="J17" s="1296"/>
      <c r="K17" s="708"/>
    </row>
    <row r="18" spans="1:14" ht="30" customHeight="1" thickBot="1">
      <c r="A18" s="1297" t="s">
        <v>59</v>
      </c>
      <c r="B18" s="726" t="s">
        <v>60</v>
      </c>
      <c r="C18" s="727"/>
      <c r="D18" s="730">
        <v>1</v>
      </c>
      <c r="E18" s="369">
        <v>13077</v>
      </c>
      <c r="F18" s="490">
        <f>D18*E18</f>
        <v>13077</v>
      </c>
      <c r="G18" s="369">
        <v>5884.65</v>
      </c>
      <c r="H18" s="369">
        <f>F18*5%</f>
        <v>653.85</v>
      </c>
      <c r="I18" s="371">
        <f>(F18+G18+H18)*60%</f>
        <v>11769.3</v>
      </c>
      <c r="J18" s="371">
        <f>F18+G18+H18+I18</f>
        <v>31384.799999999999</v>
      </c>
      <c r="K18" s="723">
        <f>J18*12</f>
        <v>376617.6</v>
      </c>
    </row>
    <row r="19" spans="1:14" ht="12" hidden="1" customHeight="1">
      <c r="A19" s="1298"/>
      <c r="B19" s="726" t="s">
        <v>61</v>
      </c>
      <c r="C19" s="727"/>
      <c r="D19" s="373"/>
      <c r="E19" s="374"/>
      <c r="F19" s="375"/>
      <c r="G19" s="375"/>
      <c r="H19" s="375"/>
      <c r="I19" s="803"/>
      <c r="J19" s="371">
        <f>F19+G19+H19+I19</f>
        <v>0</v>
      </c>
      <c r="K19" s="710"/>
    </row>
    <row r="20" spans="1:14" ht="24" hidden="1" customHeight="1">
      <c r="A20" s="1299"/>
      <c r="B20" s="726" t="s">
        <v>62</v>
      </c>
      <c r="C20" s="727"/>
      <c r="D20" s="727"/>
      <c r="E20" s="374"/>
      <c r="F20" s="375"/>
      <c r="G20" s="375"/>
      <c r="H20" s="375"/>
      <c r="I20" s="803"/>
      <c r="J20" s="371">
        <f>F20+G20+H20+I20</f>
        <v>0</v>
      </c>
      <c r="K20" s="710"/>
    </row>
    <row r="21" spans="1:14" ht="26.25" hidden="1" customHeight="1" thickBot="1">
      <c r="A21" s="1299"/>
      <c r="B21" s="735" t="s">
        <v>63</v>
      </c>
      <c r="C21" s="388"/>
      <c r="D21" s="388"/>
      <c r="E21" s="386"/>
      <c r="F21" s="391"/>
      <c r="G21" s="391"/>
      <c r="H21" s="391"/>
      <c r="I21" s="387"/>
      <c r="J21" s="387"/>
      <c r="K21" s="711"/>
    </row>
    <row r="22" spans="1:14" ht="34.5" customHeight="1" thickBot="1">
      <c r="A22" s="1299"/>
      <c r="B22" s="456"/>
      <c r="C22" s="457"/>
      <c r="D22" s="783">
        <f>SUM(D18:D21)</f>
        <v>1</v>
      </c>
      <c r="E22" s="458">
        <f t="shared" ref="E22:K22" si="0">SUM(E18:E21)</f>
        <v>13077</v>
      </c>
      <c r="F22" s="458">
        <f t="shared" si="0"/>
        <v>13077</v>
      </c>
      <c r="G22" s="458">
        <f t="shared" si="0"/>
        <v>5884.65</v>
      </c>
      <c r="H22" s="458">
        <f t="shared" si="0"/>
        <v>653.85</v>
      </c>
      <c r="I22" s="458">
        <f t="shared" si="0"/>
        <v>11769.3</v>
      </c>
      <c r="J22" s="458">
        <f t="shared" si="0"/>
        <v>31384.799999999999</v>
      </c>
      <c r="K22" s="666">
        <f t="shared" si="0"/>
        <v>376617.6</v>
      </c>
    </row>
    <row r="23" spans="1:14" ht="25.5">
      <c r="A23" s="1298"/>
      <c r="B23" s="734" t="s">
        <v>56</v>
      </c>
      <c r="C23" s="730"/>
      <c r="D23" s="730"/>
      <c r="E23" s="381"/>
      <c r="F23" s="381"/>
      <c r="G23" s="383"/>
      <c r="H23" s="383"/>
      <c r="I23" s="383"/>
      <c r="J23" s="383">
        <v>7900</v>
      </c>
      <c r="K23" s="804">
        <f>J23*12</f>
        <v>94800</v>
      </c>
    </row>
    <row r="24" spans="1:14" ht="24" customHeight="1" thickBot="1">
      <c r="A24" s="1299"/>
      <c r="B24" s="707" t="s">
        <v>347</v>
      </c>
      <c r="C24" s="388"/>
      <c r="D24" s="388"/>
      <c r="E24" s="386"/>
      <c r="F24" s="386"/>
      <c r="G24" s="391"/>
      <c r="H24" s="391"/>
      <c r="I24" s="391"/>
      <c r="J24" s="391"/>
      <c r="K24" s="724">
        <f>J24*12</f>
        <v>0</v>
      </c>
    </row>
    <row r="25" spans="1:14" ht="23.25" customHeight="1" thickBot="1">
      <c r="A25" s="1299"/>
      <c r="B25" s="502" t="s">
        <v>64</v>
      </c>
      <c r="C25" s="457"/>
      <c r="D25" s="463">
        <f>D22+D23+D24</f>
        <v>1</v>
      </c>
      <c r="E25" s="463">
        <f t="shared" ref="E25:K25" si="1">E22+E23+E24</f>
        <v>13077</v>
      </c>
      <c r="F25" s="463">
        <f t="shared" si="1"/>
        <v>13077</v>
      </c>
      <c r="G25" s="463">
        <f t="shared" si="1"/>
        <v>5884.65</v>
      </c>
      <c r="H25" s="463">
        <f t="shared" si="1"/>
        <v>653.85</v>
      </c>
      <c r="I25" s="463">
        <f t="shared" si="1"/>
        <v>11769.3</v>
      </c>
      <c r="J25" s="463">
        <f t="shared" si="1"/>
        <v>39284.800000000003</v>
      </c>
      <c r="K25" s="464">
        <f t="shared" si="1"/>
        <v>471417.59999999998</v>
      </c>
      <c r="N25" s="461">
        <f>J24+J33</f>
        <v>0</v>
      </c>
    </row>
    <row r="26" spans="1:14" ht="42" customHeight="1">
      <c r="A26" s="1432" t="s">
        <v>32</v>
      </c>
      <c r="B26" s="726" t="s">
        <v>138</v>
      </c>
      <c r="C26" s="727" t="s">
        <v>36</v>
      </c>
      <c r="D26" s="373">
        <v>0.5</v>
      </c>
      <c r="E26" s="494">
        <v>8234</v>
      </c>
      <c r="F26" s="494">
        <f>D26*E26</f>
        <v>4117</v>
      </c>
      <c r="G26" s="494">
        <v>1852.65</v>
      </c>
      <c r="H26" s="494">
        <v>617.54999999999995</v>
      </c>
      <c r="I26" s="494">
        <f>(F26+G26+H26)*60%</f>
        <v>3952.3199999999997</v>
      </c>
      <c r="J26" s="494">
        <f>F26+G26+H26+I26</f>
        <v>10539.52</v>
      </c>
      <c r="K26" s="723">
        <f t="shared" ref="K26:K29" si="2">J26*12</f>
        <v>126474.24000000001</v>
      </c>
    </row>
    <row r="27" spans="1:14" ht="23.25" customHeight="1">
      <c r="A27" s="1433"/>
      <c r="B27" s="670" t="s">
        <v>35</v>
      </c>
      <c r="C27" s="727"/>
      <c r="D27" s="373">
        <v>1</v>
      </c>
      <c r="E27" s="494">
        <v>7521</v>
      </c>
      <c r="F27" s="494">
        <f t="shared" ref="F27:F30" si="3">D27*E27</f>
        <v>7521</v>
      </c>
      <c r="G27" s="494">
        <v>3384.45</v>
      </c>
      <c r="H27" s="494">
        <v>1128.1500000000001</v>
      </c>
      <c r="I27" s="494">
        <f>(F27+G27+H27)*60%</f>
        <v>7220.16</v>
      </c>
      <c r="J27" s="494">
        <f>F27+G27+H27+I27</f>
        <v>19253.760000000002</v>
      </c>
      <c r="K27" s="723">
        <f t="shared" si="2"/>
        <v>231045.12000000002</v>
      </c>
    </row>
    <row r="28" spans="1:14" ht="15" customHeight="1">
      <c r="A28" s="1433"/>
      <c r="B28" s="670" t="s">
        <v>40</v>
      </c>
      <c r="C28" s="727" t="s">
        <v>36</v>
      </c>
      <c r="D28" s="385">
        <v>1</v>
      </c>
      <c r="E28" s="805">
        <v>8234</v>
      </c>
      <c r="F28" s="494">
        <f t="shared" si="3"/>
        <v>8234</v>
      </c>
      <c r="G28" s="494">
        <v>3705.3</v>
      </c>
      <c r="H28" s="494">
        <v>1235.0999999999999</v>
      </c>
      <c r="I28" s="494">
        <f>(F28+G28+H28)*60%</f>
        <v>7904.6399999999994</v>
      </c>
      <c r="J28" s="494">
        <f>F28+G28+H28+I28</f>
        <v>21079.040000000001</v>
      </c>
      <c r="K28" s="723">
        <f t="shared" si="2"/>
        <v>252948.48000000001</v>
      </c>
    </row>
    <row r="29" spans="1:14" ht="21" customHeight="1">
      <c r="A29" s="1433"/>
      <c r="B29" s="670" t="s">
        <v>33</v>
      </c>
      <c r="C29" s="388"/>
      <c r="D29" s="385">
        <v>1</v>
      </c>
      <c r="E29" s="805">
        <v>6866</v>
      </c>
      <c r="F29" s="494">
        <f t="shared" si="3"/>
        <v>6866</v>
      </c>
      <c r="G29" s="494">
        <v>3089.7</v>
      </c>
      <c r="H29" s="494">
        <v>343.3</v>
      </c>
      <c r="I29" s="494">
        <f>(F29+G29+H29)*60%</f>
        <v>6179.4</v>
      </c>
      <c r="J29" s="494">
        <f>F29+G29+H29+I29</f>
        <v>16478.400000000001</v>
      </c>
      <c r="K29" s="723">
        <f t="shared" si="2"/>
        <v>197740.80000000002</v>
      </c>
    </row>
    <row r="30" spans="1:14" ht="42.75" customHeight="1" thickBot="1">
      <c r="A30" s="1433"/>
      <c r="B30" s="670" t="s">
        <v>43</v>
      </c>
      <c r="C30" s="712"/>
      <c r="D30" s="806">
        <v>1</v>
      </c>
      <c r="E30" s="807">
        <v>6866</v>
      </c>
      <c r="F30" s="494">
        <f t="shared" si="3"/>
        <v>6866</v>
      </c>
      <c r="G30" s="494">
        <v>3089.71</v>
      </c>
      <c r="H30" s="494"/>
      <c r="I30" s="494">
        <f>(F30+G30+H30)*60%</f>
        <v>5973.4259999999995</v>
      </c>
      <c r="J30" s="494">
        <f>F30+G30+H30+I30</f>
        <v>15929.135999999999</v>
      </c>
      <c r="K30" s="723">
        <f t="shared" ref="K30" si="4">J30*4</f>
        <v>63716.543999999994</v>
      </c>
    </row>
    <row r="31" spans="1:14" ht="19.5" customHeight="1" thickBot="1">
      <c r="A31" s="1433"/>
      <c r="B31" s="462" t="s">
        <v>67</v>
      </c>
      <c r="C31" s="713"/>
      <c r="D31" s="463">
        <f>SUM(D26:D30)</f>
        <v>4.5</v>
      </c>
      <c r="E31" s="463">
        <f t="shared" ref="E31:K31" si="5">SUM(E26:E30)</f>
        <v>37721</v>
      </c>
      <c r="F31" s="463">
        <f t="shared" si="5"/>
        <v>33604</v>
      </c>
      <c r="G31" s="463">
        <f t="shared" si="5"/>
        <v>15121.810000000001</v>
      </c>
      <c r="H31" s="463">
        <f t="shared" si="5"/>
        <v>3324.1000000000004</v>
      </c>
      <c r="I31" s="463">
        <f t="shared" si="5"/>
        <v>31229.945999999996</v>
      </c>
      <c r="J31" s="463">
        <f>SUM(J26:J30)</f>
        <v>83279.856</v>
      </c>
      <c r="K31" s="464">
        <f t="shared" si="5"/>
        <v>871925.18400000012</v>
      </c>
    </row>
    <row r="32" spans="1:14" ht="25.5">
      <c r="A32" s="1433"/>
      <c r="B32" s="734" t="s">
        <v>56</v>
      </c>
      <c r="C32" s="730"/>
      <c r="D32" s="380"/>
      <c r="E32" s="381"/>
      <c r="F32" s="383"/>
      <c r="G32" s="383"/>
      <c r="H32" s="383"/>
      <c r="I32" s="814"/>
      <c r="J32" s="815">
        <v>34900</v>
      </c>
      <c r="K32" s="804">
        <f>J32*12</f>
        <v>418800</v>
      </c>
    </row>
    <row r="33" spans="1:14" ht="33" customHeight="1" thickBot="1">
      <c r="A33" s="1433"/>
      <c r="B33" s="706" t="s">
        <v>347</v>
      </c>
      <c r="C33" s="388"/>
      <c r="D33" s="385"/>
      <c r="E33" s="386"/>
      <c r="F33" s="391"/>
      <c r="G33" s="391"/>
      <c r="H33" s="391"/>
      <c r="I33" s="808"/>
      <c r="J33" s="809"/>
      <c r="K33" s="723">
        <f>J33*12</f>
        <v>0</v>
      </c>
    </row>
    <row r="34" spans="1:14" ht="29.25" customHeight="1" thickBot="1">
      <c r="A34" s="1434"/>
      <c r="B34" s="502" t="s">
        <v>101</v>
      </c>
      <c r="C34" s="713"/>
      <c r="D34" s="463">
        <f>SUM(D31:D33)</f>
        <v>4.5</v>
      </c>
      <c r="E34" s="463">
        <f t="shared" ref="E34:K34" si="6">SUM(E31:E33)</f>
        <v>37721</v>
      </c>
      <c r="F34" s="463">
        <f t="shared" si="6"/>
        <v>33604</v>
      </c>
      <c r="G34" s="463">
        <f t="shared" si="6"/>
        <v>15121.810000000001</v>
      </c>
      <c r="H34" s="463">
        <f t="shared" si="6"/>
        <v>3324.1000000000004</v>
      </c>
      <c r="I34" s="463">
        <f t="shared" si="6"/>
        <v>31229.945999999996</v>
      </c>
      <c r="J34" s="463">
        <f t="shared" si="6"/>
        <v>118179.856</v>
      </c>
      <c r="K34" s="463">
        <f t="shared" si="6"/>
        <v>1290725.1840000001</v>
      </c>
      <c r="N34" s="461"/>
    </row>
    <row r="35" spans="1:14" ht="24" hidden="1" customHeight="1">
      <c r="A35" s="1297" t="s">
        <v>140</v>
      </c>
      <c r="B35" s="734" t="s">
        <v>70</v>
      </c>
      <c r="C35" s="1349" t="s">
        <v>71</v>
      </c>
      <c r="D35" s="380"/>
      <c r="E35" s="381"/>
      <c r="F35" s="382"/>
      <c r="G35" s="383"/>
      <c r="H35" s="383"/>
      <c r="I35" s="803"/>
      <c r="J35" s="371">
        <f t="shared" ref="J35:J39" si="7">F35+G35+H35+I35</f>
        <v>0</v>
      </c>
      <c r="K35" s="714" t="e">
        <f>#REF!/D35/247</f>
        <v>#REF!</v>
      </c>
    </row>
    <row r="36" spans="1:14" ht="25.5">
      <c r="A36" s="1298"/>
      <c r="B36" s="726" t="s">
        <v>72</v>
      </c>
      <c r="C36" s="1435"/>
      <c r="D36" s="373">
        <v>0.5</v>
      </c>
      <c r="E36" s="492">
        <v>3896</v>
      </c>
      <c r="F36" s="746">
        <f>D36*E36</f>
        <v>1948</v>
      </c>
      <c r="G36" s="468">
        <v>389.6</v>
      </c>
      <c r="H36" s="468"/>
      <c r="I36" s="377">
        <f>(F36+G36+H36)*60%</f>
        <v>1402.56</v>
      </c>
      <c r="J36" s="377">
        <f>F36+G36+H36+I36</f>
        <v>3740.16</v>
      </c>
      <c r="K36" s="723">
        <f t="shared" ref="K36:K37" si="8">J36*12</f>
        <v>44881.919999999998</v>
      </c>
    </row>
    <row r="37" spans="1:14" ht="33" customHeight="1" thickBot="1">
      <c r="A37" s="1298"/>
      <c r="B37" s="735" t="s">
        <v>85</v>
      </c>
      <c r="C37" s="1435"/>
      <c r="D37" s="390">
        <v>0.75</v>
      </c>
      <c r="E37" s="805">
        <v>3016</v>
      </c>
      <c r="F37" s="746">
        <f>D37*E37</f>
        <v>2262</v>
      </c>
      <c r="G37" s="468">
        <v>452.4</v>
      </c>
      <c r="H37" s="468">
        <v>113.1</v>
      </c>
      <c r="I37" s="377">
        <f>(F37+G37+H37)*60%</f>
        <v>1696.5</v>
      </c>
      <c r="J37" s="675">
        <f t="shared" si="7"/>
        <v>4524</v>
      </c>
      <c r="K37" s="723">
        <f t="shared" si="8"/>
        <v>54288</v>
      </c>
    </row>
    <row r="38" spans="1:14" ht="53.25" hidden="1" customHeight="1" thickBot="1">
      <c r="A38" s="1298"/>
      <c r="B38" s="726"/>
      <c r="C38" s="1436"/>
      <c r="D38" s="389"/>
      <c r="E38" s="492"/>
      <c r="F38" s="746"/>
      <c r="G38" s="468"/>
      <c r="H38" s="468"/>
      <c r="I38" s="377"/>
      <c r="J38" s="377"/>
      <c r="K38" s="723"/>
    </row>
    <row r="39" spans="1:14" ht="168" hidden="1" customHeight="1">
      <c r="A39" s="1298"/>
      <c r="B39" s="726" t="s">
        <v>75</v>
      </c>
      <c r="C39" s="388" t="s">
        <v>76</v>
      </c>
      <c r="D39" s="389"/>
      <c r="E39" s="374"/>
      <c r="F39" s="810"/>
      <c r="G39" s="375"/>
      <c r="H39" s="375"/>
      <c r="I39" s="803"/>
      <c r="J39" s="371">
        <f t="shared" si="7"/>
        <v>0</v>
      </c>
      <c r="K39" s="710"/>
    </row>
    <row r="40" spans="1:14" ht="12" hidden="1" customHeight="1">
      <c r="A40" s="1298"/>
      <c r="B40" s="735"/>
      <c r="C40" s="388"/>
      <c r="D40" s="385"/>
      <c r="E40" s="386"/>
      <c r="F40" s="647"/>
      <c r="G40" s="391"/>
      <c r="H40" s="391"/>
      <c r="I40" s="391"/>
      <c r="J40" s="391"/>
      <c r="K40" s="712"/>
    </row>
    <row r="41" spans="1:14" ht="12.75" hidden="1" customHeight="1" thickBot="1">
      <c r="A41" s="1298"/>
      <c r="B41" s="735"/>
      <c r="C41" s="388"/>
      <c r="D41" s="385"/>
      <c r="E41" s="386"/>
      <c r="F41" s="647"/>
      <c r="G41" s="391"/>
      <c r="H41" s="391"/>
      <c r="I41" s="391"/>
      <c r="J41" s="391">
        <v>0</v>
      </c>
      <c r="K41" s="712"/>
    </row>
    <row r="42" spans="1:14" s="687" customFormat="1" ht="28.5" customHeight="1" thickBot="1">
      <c r="A42" s="811"/>
      <c r="B42" s="462" t="s">
        <v>67</v>
      </c>
      <c r="C42" s="713"/>
      <c r="D42" s="463">
        <f t="shared" ref="D42:I42" si="9">SUM(D35:D41)</f>
        <v>1.25</v>
      </c>
      <c r="E42" s="463">
        <f t="shared" si="9"/>
        <v>6912</v>
      </c>
      <c r="F42" s="463">
        <f t="shared" si="9"/>
        <v>4210</v>
      </c>
      <c r="G42" s="463">
        <f t="shared" si="9"/>
        <v>842</v>
      </c>
      <c r="H42" s="463">
        <f t="shared" si="9"/>
        <v>113.1</v>
      </c>
      <c r="I42" s="463">
        <f t="shared" si="9"/>
        <v>3099.06</v>
      </c>
      <c r="J42" s="463">
        <f>SUM(J35:J41)</f>
        <v>8264.16</v>
      </c>
      <c r="K42" s="464">
        <f>SUM(K36:K41)</f>
        <v>99169.919999999998</v>
      </c>
    </row>
    <row r="43" spans="1:14" ht="33.75" customHeight="1">
      <c r="A43" s="729"/>
      <c r="B43" s="734" t="s">
        <v>77</v>
      </c>
      <c r="C43" s="730"/>
      <c r="D43" s="380"/>
      <c r="E43" s="381"/>
      <c r="F43" s="397"/>
      <c r="G43" s="383"/>
      <c r="H43" s="383"/>
      <c r="I43" s="383"/>
      <c r="J43" s="383">
        <f>J42*15%</f>
        <v>1239.624</v>
      </c>
      <c r="K43" s="723">
        <f t="shared" ref="K43:K44" si="10">J43*12</f>
        <v>14875.488000000001</v>
      </c>
    </row>
    <row r="44" spans="1:14" ht="69.75" customHeight="1" thickBot="1">
      <c r="A44" s="729"/>
      <c r="B44" s="482" t="s">
        <v>160</v>
      </c>
      <c r="C44" s="388"/>
      <c r="D44" s="385"/>
      <c r="E44" s="386"/>
      <c r="F44" s="647"/>
      <c r="G44" s="391"/>
      <c r="H44" s="391"/>
      <c r="I44" s="391"/>
      <c r="J44" s="812">
        <v>18276.22</v>
      </c>
      <c r="K44" s="723">
        <f t="shared" si="10"/>
        <v>219314.64</v>
      </c>
      <c r="N44" s="461">
        <f>J42+J43+J44</f>
        <v>27780.004000000001</v>
      </c>
    </row>
    <row r="45" spans="1:14" s="687" customFormat="1" ht="21" customHeight="1" thickBot="1">
      <c r="A45" s="717"/>
      <c r="B45" s="462" t="s">
        <v>139</v>
      </c>
      <c r="C45" s="713"/>
      <c r="D45" s="463">
        <f t="shared" ref="D45:K45" si="11">D42+D43+D44</f>
        <v>1.25</v>
      </c>
      <c r="E45" s="463">
        <f t="shared" si="11"/>
        <v>6912</v>
      </c>
      <c r="F45" s="463">
        <f t="shared" si="11"/>
        <v>4210</v>
      </c>
      <c r="G45" s="463">
        <f t="shared" si="11"/>
        <v>842</v>
      </c>
      <c r="H45" s="463">
        <f t="shared" si="11"/>
        <v>113.1</v>
      </c>
      <c r="I45" s="463">
        <f t="shared" si="11"/>
        <v>3099.06</v>
      </c>
      <c r="J45" s="464">
        <f>J42+J43+J44</f>
        <v>27780.004000000001</v>
      </c>
      <c r="K45" s="464">
        <f t="shared" si="11"/>
        <v>333360.04800000001</v>
      </c>
    </row>
    <row r="46" spans="1:14" ht="26.25" customHeight="1">
      <c r="A46" s="718"/>
      <c r="B46" s="719" t="s">
        <v>115</v>
      </c>
      <c r="C46" s="720"/>
      <c r="D46" s="721">
        <f>D25+D34+D45</f>
        <v>6.75</v>
      </c>
      <c r="E46" s="721">
        <f t="shared" ref="E46:I46" si="12">E25+E34+E45</f>
        <v>57710</v>
      </c>
      <c r="F46" s="721">
        <f t="shared" si="12"/>
        <v>50891</v>
      </c>
      <c r="G46" s="721">
        <f t="shared" si="12"/>
        <v>21848.46</v>
      </c>
      <c r="H46" s="721">
        <f t="shared" si="12"/>
        <v>4091.05</v>
      </c>
      <c r="I46" s="721">
        <f t="shared" si="12"/>
        <v>46098.305999999997</v>
      </c>
      <c r="J46" s="721">
        <f>J25+J34+J45</f>
        <v>185244.66000000003</v>
      </c>
      <c r="K46" s="721">
        <f>K25+K34+K45</f>
        <v>2095502.8319999999</v>
      </c>
    </row>
    <row r="47" spans="1:14">
      <c r="L47" s="813">
        <f>J46*12</f>
        <v>2222935.9200000004</v>
      </c>
    </row>
    <row r="49" spans="2:11">
      <c r="B49" s="518" t="s">
        <v>99</v>
      </c>
      <c r="G49" s="364" t="s">
        <v>127</v>
      </c>
      <c r="H49" s="518"/>
    </row>
    <row r="50" spans="2:11">
      <c r="J50" s="520"/>
    </row>
    <row r="51" spans="2:11">
      <c r="J51" s="715"/>
    </row>
    <row r="52" spans="2:11">
      <c r="B52" s="364" t="s">
        <v>206</v>
      </c>
      <c r="F52" s="461"/>
    </row>
    <row r="53" spans="2:11">
      <c r="J53" s="476"/>
    </row>
    <row r="55" spans="2:11">
      <c r="J55" s="476"/>
    </row>
    <row r="58" spans="2:11">
      <c r="J58" s="455"/>
    </row>
    <row r="59" spans="2:11">
      <c r="K59" s="476"/>
    </row>
    <row r="60" spans="2:11">
      <c r="K60" s="461"/>
    </row>
  </sheetData>
  <mergeCells count="25">
    <mergeCell ref="C6:K6"/>
    <mergeCell ref="I1:J1"/>
    <mergeCell ref="BD1:BU1"/>
    <mergeCell ref="BF3:BU3"/>
    <mergeCell ref="BF4:BU4"/>
    <mergeCell ref="A5:K5"/>
    <mergeCell ref="J15:J16"/>
    <mergeCell ref="K15:K16"/>
    <mergeCell ref="B17:J17"/>
    <mergeCell ref="A18:A25"/>
    <mergeCell ref="E8:F8"/>
    <mergeCell ref="G8:H8"/>
    <mergeCell ref="E9:F9"/>
    <mergeCell ref="G9:H9"/>
    <mergeCell ref="A15:A16"/>
    <mergeCell ref="B15:B16"/>
    <mergeCell ref="C15:C16"/>
    <mergeCell ref="D15:D16"/>
    <mergeCell ref="E15:E16"/>
    <mergeCell ref="F15:F16"/>
    <mergeCell ref="A26:A34"/>
    <mergeCell ref="A35:A41"/>
    <mergeCell ref="C35:C38"/>
    <mergeCell ref="G15:H15"/>
    <mergeCell ref="I15:I1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6"/>
  <sheetViews>
    <sheetView topLeftCell="A7" workbookViewId="0">
      <selection activeCell="F34" sqref="F34"/>
    </sheetView>
  </sheetViews>
  <sheetFormatPr defaultColWidth="12.140625" defaultRowHeight="12.75"/>
  <cols>
    <col min="1" max="1" width="14.140625" style="364" customWidth="1"/>
    <col min="2" max="2" width="26.28515625" style="364" customWidth="1"/>
    <col min="3" max="3" width="10.85546875" style="364" customWidth="1"/>
    <col min="4" max="4" width="13" style="364" customWidth="1"/>
    <col min="5" max="5" width="12.140625" style="364" customWidth="1"/>
    <col min="6" max="6" width="12.85546875" style="364" customWidth="1"/>
    <col min="7" max="7" width="12.42578125" style="364" bestFit="1" customWidth="1"/>
    <col min="8" max="8" width="13.42578125" style="364" bestFit="1" customWidth="1"/>
    <col min="9" max="9" width="14.5703125" style="364" bestFit="1" customWidth="1"/>
    <col min="10" max="10" width="13.7109375" style="364" bestFit="1" customWidth="1"/>
    <col min="11" max="11" width="0" style="364" hidden="1" customWidth="1"/>
    <col min="12" max="12" width="12.42578125" style="364" hidden="1" customWidth="1"/>
    <col min="13" max="13" width="0" style="364" hidden="1" customWidth="1"/>
    <col min="14" max="14" width="12.42578125" style="364" hidden="1" customWidth="1"/>
    <col min="15" max="17" width="0" style="364" hidden="1" customWidth="1"/>
    <col min="18" max="18" width="14.42578125" style="364" hidden="1" customWidth="1"/>
    <col min="19" max="16384" width="12.140625" style="364"/>
  </cols>
  <sheetData>
    <row r="1" spans="1:10" ht="12" customHeight="1">
      <c r="A1" s="363"/>
      <c r="B1" s="363"/>
      <c r="C1" s="363"/>
      <c r="D1" s="363"/>
      <c r="E1" s="363"/>
      <c r="F1" s="363"/>
      <c r="G1" s="363"/>
      <c r="H1" s="1306" t="s">
        <v>0</v>
      </c>
      <c r="I1" s="1307"/>
      <c r="J1" s="1307"/>
    </row>
    <row r="2" spans="1:10">
      <c r="E2" s="363" t="s">
        <v>2</v>
      </c>
      <c r="F2" s="363"/>
      <c r="G2" s="365" t="s">
        <v>1</v>
      </c>
    </row>
    <row r="3" spans="1:10">
      <c r="A3" s="363"/>
      <c r="B3" s="363"/>
      <c r="C3" s="363"/>
      <c r="D3" s="363"/>
      <c r="E3" s="363" t="s">
        <v>4</v>
      </c>
      <c r="F3" s="363"/>
      <c r="G3" s="365" t="s">
        <v>3</v>
      </c>
      <c r="H3" s="363"/>
      <c r="I3" s="363"/>
      <c r="J3" s="363"/>
    </row>
    <row r="4" spans="1:10">
      <c r="A4" s="363"/>
      <c r="B4" s="363"/>
      <c r="C4" s="363"/>
      <c r="D4" s="363"/>
      <c r="E4" s="363"/>
      <c r="F4" s="363"/>
      <c r="G4" s="363"/>
      <c r="H4" s="363"/>
      <c r="I4" s="363"/>
      <c r="J4" s="363"/>
    </row>
    <row r="5" spans="1:10">
      <c r="A5" s="439"/>
      <c r="B5" s="439"/>
      <c r="C5" s="440"/>
      <c r="D5" s="440"/>
      <c r="E5" s="440"/>
      <c r="F5" s="440"/>
      <c r="G5" s="440"/>
      <c r="H5" s="439"/>
      <c r="I5" s="439"/>
      <c r="J5" s="439"/>
    </row>
    <row r="6" spans="1:10">
      <c r="A6" s="439"/>
      <c r="B6" s="439"/>
      <c r="C6" s="440"/>
      <c r="D6" s="1312" t="s">
        <v>9</v>
      </c>
      <c r="E6" s="1312"/>
      <c r="F6" s="1312" t="s">
        <v>10</v>
      </c>
      <c r="G6" s="1312"/>
      <c r="H6" s="439"/>
      <c r="I6" s="439"/>
      <c r="J6" s="439"/>
    </row>
    <row r="7" spans="1:10">
      <c r="B7" s="441" t="s">
        <v>222</v>
      </c>
      <c r="C7" s="440"/>
      <c r="D7" s="1312">
        <v>1</v>
      </c>
      <c r="E7" s="1312"/>
      <c r="F7" s="1313" t="s">
        <v>219</v>
      </c>
      <c r="G7" s="1312"/>
      <c r="H7" s="439" t="s">
        <v>12</v>
      </c>
      <c r="I7" s="439"/>
      <c r="J7" s="439"/>
    </row>
    <row r="8" spans="1:10" ht="17.25" customHeight="1">
      <c r="A8" s="439"/>
      <c r="B8" s="439"/>
      <c r="C8" s="440"/>
      <c r="D8" s="440"/>
      <c r="E8" s="440"/>
      <c r="F8" s="440"/>
      <c r="G8" s="440"/>
      <c r="H8" s="440" t="s">
        <v>13</v>
      </c>
      <c r="I8" s="440"/>
      <c r="J8" s="440"/>
    </row>
    <row r="9" spans="1:10" ht="17.25" customHeight="1">
      <c r="A9" s="662"/>
      <c r="B9" s="662" t="s">
        <v>220</v>
      </c>
      <c r="C9" s="662"/>
      <c r="D9" s="440"/>
      <c r="E9" s="440"/>
      <c r="F9" s="440"/>
      <c r="G9" s="440"/>
      <c r="H9" s="440" t="s">
        <v>14</v>
      </c>
      <c r="I9" s="443"/>
      <c r="J9" s="440"/>
    </row>
    <row r="10" spans="1:10">
      <c r="A10" s="440"/>
      <c r="B10" s="440"/>
      <c r="C10" s="440"/>
      <c r="D10" s="440"/>
      <c r="E10" s="440"/>
      <c r="F10" s="440"/>
      <c r="G10" s="440"/>
      <c r="H10" s="440"/>
      <c r="I10" s="663">
        <f>C55</f>
        <v>14.319999999999999</v>
      </c>
      <c r="J10" s="440"/>
    </row>
    <row r="11" spans="1:10">
      <c r="A11" s="440"/>
      <c r="B11" s="440"/>
      <c r="C11" s="440"/>
      <c r="D11" s="439"/>
      <c r="E11" s="439"/>
      <c r="F11" s="439"/>
      <c r="G11" s="440"/>
      <c r="H11" s="440" t="s">
        <v>15</v>
      </c>
      <c r="I11" s="440"/>
      <c r="J11" s="440"/>
    </row>
    <row r="12" spans="1:10" ht="13.5" thickBot="1">
      <c r="B12" s="364" t="s">
        <v>218</v>
      </c>
      <c r="D12" s="449"/>
      <c r="E12" s="449"/>
      <c r="F12" s="449"/>
      <c r="J12" s="450" t="s">
        <v>16</v>
      </c>
    </row>
    <row r="13" spans="1:10">
      <c r="A13" s="1471" t="s">
        <v>17</v>
      </c>
      <c r="B13" s="1473" t="s">
        <v>18</v>
      </c>
      <c r="C13" s="1458" t="s">
        <v>20</v>
      </c>
      <c r="D13" s="1458" t="s">
        <v>21</v>
      </c>
      <c r="E13" s="1458" t="s">
        <v>5</v>
      </c>
      <c r="F13" s="1458" t="s">
        <v>6</v>
      </c>
      <c r="G13" s="1458"/>
      <c r="H13" s="1458" t="s">
        <v>7</v>
      </c>
      <c r="I13" s="1458" t="s">
        <v>22</v>
      </c>
      <c r="J13" s="1460" t="s">
        <v>196</v>
      </c>
    </row>
    <row r="14" spans="1:10" ht="43.5" customHeight="1" thickBot="1">
      <c r="A14" s="1472"/>
      <c r="B14" s="1474"/>
      <c r="C14" s="1459"/>
      <c r="D14" s="1459"/>
      <c r="E14" s="1459"/>
      <c r="F14" s="664" t="s">
        <v>24</v>
      </c>
      <c r="G14" s="664" t="s">
        <v>25</v>
      </c>
      <c r="H14" s="1459"/>
      <c r="I14" s="1459"/>
      <c r="J14" s="1461"/>
    </row>
    <row r="15" spans="1:10" ht="33" customHeight="1" thickBot="1">
      <c r="A15" s="1462" t="s">
        <v>344</v>
      </c>
      <c r="B15" s="366" t="s">
        <v>117</v>
      </c>
      <c r="C15" s="380">
        <v>1</v>
      </c>
      <c r="D15" s="400">
        <v>11241</v>
      </c>
      <c r="E15" s="370">
        <f>C15*D15</f>
        <v>11241</v>
      </c>
      <c r="F15" s="400">
        <f>E15*25%</f>
        <v>2810.25</v>
      </c>
      <c r="G15" s="400">
        <f>E15*25%</f>
        <v>2810.25</v>
      </c>
      <c r="H15" s="392">
        <f>(E15+F15+G15)*60%</f>
        <v>10116.9</v>
      </c>
      <c r="I15" s="392">
        <f>E15+F15+G15+H15</f>
        <v>26978.400000000001</v>
      </c>
      <c r="J15" s="372">
        <f>I15*12</f>
        <v>323740.80000000005</v>
      </c>
    </row>
    <row r="16" spans="1:10" ht="33" customHeight="1" thickBot="1">
      <c r="A16" s="1463"/>
      <c r="B16" s="456"/>
      <c r="C16" s="458">
        <f t="shared" ref="C16:J16" si="0">SUM(C15:C15)</f>
        <v>1</v>
      </c>
      <c r="D16" s="458">
        <f t="shared" si="0"/>
        <v>11241</v>
      </c>
      <c r="E16" s="458">
        <f t="shared" si="0"/>
        <v>11241</v>
      </c>
      <c r="F16" s="458">
        <f t="shared" si="0"/>
        <v>2810.25</v>
      </c>
      <c r="G16" s="458">
        <f t="shared" si="0"/>
        <v>2810.25</v>
      </c>
      <c r="H16" s="458">
        <f t="shared" si="0"/>
        <v>10116.9</v>
      </c>
      <c r="I16" s="458">
        <f t="shared" si="0"/>
        <v>26978.400000000001</v>
      </c>
      <c r="J16" s="666">
        <f t="shared" si="0"/>
        <v>323740.80000000005</v>
      </c>
    </row>
    <row r="17" spans="1:18" ht="31.5" customHeight="1" thickBot="1">
      <c r="A17" s="1477" t="s">
        <v>345</v>
      </c>
      <c r="B17" s="659" t="s">
        <v>333</v>
      </c>
      <c r="C17" s="368"/>
      <c r="D17" s="381"/>
      <c r="E17" s="381"/>
      <c r="F17" s="383"/>
      <c r="G17" s="383"/>
      <c r="H17" s="383"/>
      <c r="I17" s="383">
        <f>I16*20%</f>
        <v>5395.68</v>
      </c>
      <c r="J17" s="372">
        <f>I17*12</f>
        <v>64748.160000000003</v>
      </c>
    </row>
    <row r="18" spans="1:18" ht="22.5" hidden="1" customHeight="1" thickBot="1">
      <c r="A18" s="1478"/>
      <c r="B18" s="661" t="s">
        <v>334</v>
      </c>
      <c r="C18" s="388"/>
      <c r="D18" s="386"/>
      <c r="E18" s="386"/>
      <c r="F18" s="391"/>
      <c r="G18" s="391"/>
      <c r="H18" s="391"/>
      <c r="I18" s="391"/>
      <c r="J18" s="669">
        <f>I18*4</f>
        <v>0</v>
      </c>
    </row>
    <row r="19" spans="1:18" ht="24" customHeight="1" thickBot="1">
      <c r="A19" s="1478"/>
      <c r="B19" s="502" t="s">
        <v>64</v>
      </c>
      <c r="C19" s="503">
        <f>SUM(C16:C18)</f>
        <v>1</v>
      </c>
      <c r="D19" s="503">
        <f t="shared" ref="D19:J19" si="1">SUM(D16:D18)</f>
        <v>11241</v>
      </c>
      <c r="E19" s="503">
        <f t="shared" si="1"/>
        <v>11241</v>
      </c>
      <c r="F19" s="503">
        <f t="shared" si="1"/>
        <v>2810.25</v>
      </c>
      <c r="G19" s="503">
        <f t="shared" si="1"/>
        <v>2810.25</v>
      </c>
      <c r="H19" s="503">
        <f t="shared" si="1"/>
        <v>10116.9</v>
      </c>
      <c r="I19" s="463">
        <f t="shared" si="1"/>
        <v>32374.080000000002</v>
      </c>
      <c r="J19" s="503">
        <f t="shared" si="1"/>
        <v>388488.96000000008</v>
      </c>
      <c r="N19" s="455" t="e">
        <f>#REF!+I19</f>
        <v>#REF!</v>
      </c>
      <c r="O19" s="364">
        <v>28264.21</v>
      </c>
      <c r="R19" s="476">
        <f>I19*12*1.302</f>
        <v>505812.62592000002</v>
      </c>
    </row>
    <row r="20" spans="1:18" ht="31.5" customHeight="1">
      <c r="A20" s="1478"/>
      <c r="B20" s="667" t="s">
        <v>32</v>
      </c>
      <c r="C20" s="507"/>
      <c r="D20" s="507"/>
      <c r="E20" s="507"/>
      <c r="F20" s="507"/>
      <c r="G20" s="507"/>
      <c r="H20" s="507"/>
      <c r="I20" s="507"/>
      <c r="J20" s="507"/>
    </row>
    <row r="21" spans="1:18" ht="18" customHeight="1">
      <c r="A21" s="1478"/>
      <c r="B21" s="668" t="s">
        <v>116</v>
      </c>
      <c r="C21" s="380">
        <v>1</v>
      </c>
      <c r="D21" s="380">
        <v>6603</v>
      </c>
      <c r="E21" s="380">
        <v>7923.6</v>
      </c>
      <c r="F21" s="459">
        <v>1650.75</v>
      </c>
      <c r="G21" s="459">
        <v>330.15</v>
      </c>
      <c r="H21" s="377">
        <f t="shared" ref="H21" si="2">(E21+F21+G21)*60%</f>
        <v>5942.7</v>
      </c>
      <c r="I21" s="377">
        <f t="shared" ref="I21" si="3">E21+F21+G21+H21</f>
        <v>15847.2</v>
      </c>
      <c r="J21" s="372">
        <f t="shared" ref="J21:J24" si="4">I21*12</f>
        <v>190166.40000000002</v>
      </c>
    </row>
    <row r="22" spans="1:18" ht="30" customHeight="1">
      <c r="A22" s="1478"/>
      <c r="B22" s="670" t="s">
        <v>335</v>
      </c>
      <c r="C22" s="671">
        <v>1.1100000000000001</v>
      </c>
      <c r="D22" s="377">
        <v>6029</v>
      </c>
      <c r="E22" s="377">
        <v>9206.2800000000007</v>
      </c>
      <c r="F22" s="377">
        <v>1673.05</v>
      </c>
      <c r="G22" s="377">
        <v>1673.05</v>
      </c>
      <c r="H22" s="377">
        <f>(E22+F22+G22)*60%</f>
        <v>7531.427999999999</v>
      </c>
      <c r="I22" s="377">
        <f>E22+F22+G22+H22</f>
        <v>20083.807999999997</v>
      </c>
      <c r="J22" s="372">
        <f t="shared" si="4"/>
        <v>241005.69599999997</v>
      </c>
    </row>
    <row r="23" spans="1:18" ht="33.75" customHeight="1">
      <c r="A23" s="1478"/>
      <c r="B23" s="670" t="s">
        <v>335</v>
      </c>
      <c r="C23" s="671">
        <v>2</v>
      </c>
      <c r="D23" s="377">
        <v>6866</v>
      </c>
      <c r="E23" s="377">
        <v>18085.05</v>
      </c>
      <c r="F23" s="377">
        <v>3433</v>
      </c>
      <c r="G23" s="377">
        <v>1606.64</v>
      </c>
      <c r="H23" s="377">
        <f>(E23+F23+G23)*60%</f>
        <v>13874.813999999998</v>
      </c>
      <c r="I23" s="377">
        <f>E23+F23+G23+H23</f>
        <v>36999.504000000001</v>
      </c>
      <c r="J23" s="372">
        <f t="shared" si="4"/>
        <v>443994.04800000001</v>
      </c>
      <c r="K23" s="455" t="e">
        <f>#REF!+I22+I23</f>
        <v>#REF!</v>
      </c>
    </row>
    <row r="24" spans="1:18" ht="24.75" customHeight="1" thickBot="1">
      <c r="A24" s="1478"/>
      <c r="B24" s="670" t="s">
        <v>336</v>
      </c>
      <c r="C24" s="672">
        <v>0.66</v>
      </c>
      <c r="D24" s="377">
        <v>6866</v>
      </c>
      <c r="E24" s="377">
        <v>6268.65</v>
      </c>
      <c r="F24" s="377">
        <v>1132.8900000000001</v>
      </c>
      <c r="G24" s="377">
        <v>679.74</v>
      </c>
      <c r="H24" s="377">
        <f>(E24+F24+G24)*60%</f>
        <v>4848.768</v>
      </c>
      <c r="I24" s="377">
        <f>E24+F24+G24+H24</f>
        <v>12930.047999999999</v>
      </c>
      <c r="J24" s="372">
        <f t="shared" si="4"/>
        <v>155160.576</v>
      </c>
    </row>
    <row r="25" spans="1:18" ht="24" customHeight="1" thickBot="1">
      <c r="A25" s="1478"/>
      <c r="B25" s="462" t="s">
        <v>67</v>
      </c>
      <c r="C25" s="463">
        <f>SUM(C21:C24)</f>
        <v>4.7700000000000005</v>
      </c>
      <c r="D25" s="463">
        <f t="shared" ref="D25:J25" si="5">SUM(D21:D24)</f>
        <v>26364</v>
      </c>
      <c r="E25" s="463">
        <f t="shared" si="5"/>
        <v>41483.58</v>
      </c>
      <c r="F25" s="463">
        <f t="shared" si="5"/>
        <v>7889.6900000000005</v>
      </c>
      <c r="G25" s="463">
        <f t="shared" si="5"/>
        <v>4289.58</v>
      </c>
      <c r="H25" s="463">
        <f t="shared" si="5"/>
        <v>32197.709999999995</v>
      </c>
      <c r="I25" s="463">
        <f t="shared" si="5"/>
        <v>85860.56</v>
      </c>
      <c r="J25" s="463">
        <f t="shared" si="5"/>
        <v>1030326.7200000001</v>
      </c>
    </row>
    <row r="26" spans="1:18" ht="34.5" customHeight="1" thickBot="1">
      <c r="A26" s="1478"/>
      <c r="B26" s="676" t="s">
        <v>332</v>
      </c>
      <c r="C26" s="508"/>
      <c r="D26" s="508"/>
      <c r="E26" s="508"/>
      <c r="F26" s="508"/>
      <c r="G26" s="508"/>
      <c r="H26" s="508"/>
      <c r="I26" s="508">
        <f>55435.91+3267.53+9895.34</f>
        <v>68598.78</v>
      </c>
      <c r="J26" s="677">
        <f>I26*12</f>
        <v>823185.36</v>
      </c>
    </row>
    <row r="27" spans="1:18" ht="28.5" customHeight="1" thickBot="1">
      <c r="A27" s="1479"/>
      <c r="B27" s="502" t="s">
        <v>101</v>
      </c>
      <c r="C27" s="463">
        <f t="shared" ref="C27:M27" si="6">SUM(C25:C26)</f>
        <v>4.7700000000000005</v>
      </c>
      <c r="D27" s="463">
        <f t="shared" si="6"/>
        <v>26364</v>
      </c>
      <c r="E27" s="463">
        <f t="shared" si="6"/>
        <v>41483.58</v>
      </c>
      <c r="F27" s="463">
        <f t="shared" si="6"/>
        <v>7889.6900000000005</v>
      </c>
      <c r="G27" s="463">
        <f t="shared" si="6"/>
        <v>4289.58</v>
      </c>
      <c r="H27" s="463">
        <f t="shared" si="6"/>
        <v>32197.709999999995</v>
      </c>
      <c r="I27" s="463">
        <f t="shared" si="6"/>
        <v>154459.34</v>
      </c>
      <c r="J27" s="463">
        <f t="shared" si="6"/>
        <v>1853512.08</v>
      </c>
      <c r="K27" s="463">
        <f t="shared" si="6"/>
        <v>0</v>
      </c>
      <c r="L27" s="463">
        <f t="shared" si="6"/>
        <v>0</v>
      </c>
      <c r="M27" s="463">
        <f t="shared" si="6"/>
        <v>0</v>
      </c>
      <c r="N27" s="476">
        <v>144564</v>
      </c>
      <c r="R27" s="476">
        <f>I27*12*1.302</f>
        <v>2413272.7281600004</v>
      </c>
    </row>
    <row r="28" spans="1:18" ht="25.5" customHeight="1">
      <c r="A28" s="1480" t="s">
        <v>346</v>
      </c>
      <c r="B28" s="667" t="s">
        <v>32</v>
      </c>
      <c r="C28" s="507"/>
      <c r="D28" s="507"/>
      <c r="E28" s="507"/>
      <c r="F28" s="507"/>
      <c r="G28" s="507"/>
      <c r="H28" s="507"/>
      <c r="I28" s="507"/>
      <c r="J28" s="507"/>
    </row>
    <row r="29" spans="1:18" ht="15.75" customHeight="1">
      <c r="A29" s="1481"/>
      <c r="B29" s="670" t="s">
        <v>50</v>
      </c>
      <c r="C29" s="378">
        <v>0.5</v>
      </c>
      <c r="D29" s="377">
        <v>6866</v>
      </c>
      <c r="E29" s="377">
        <v>4634.55</v>
      </c>
      <c r="F29" s="377">
        <v>858.25</v>
      </c>
      <c r="G29" s="377">
        <v>858.25</v>
      </c>
      <c r="H29" s="377">
        <f t="shared" ref="H29:H34" si="7">(E29+F29+G29)*60%</f>
        <v>3810.63</v>
      </c>
      <c r="I29" s="377">
        <f t="shared" ref="I29:I34" si="8">E29+F29+G29+H29</f>
        <v>10161.68</v>
      </c>
      <c r="J29" s="669">
        <f>I29*12</f>
        <v>121940.16</v>
      </c>
    </row>
    <row r="30" spans="1:18" ht="17.25" customHeight="1">
      <c r="A30" s="1481"/>
      <c r="B30" s="670" t="s">
        <v>50</v>
      </c>
      <c r="C30" s="378">
        <v>0.5</v>
      </c>
      <c r="D30" s="377">
        <v>6029</v>
      </c>
      <c r="E30" s="377">
        <v>3617.4</v>
      </c>
      <c r="F30" s="377">
        <v>753.63</v>
      </c>
      <c r="G30" s="377">
        <v>150.72999999999999</v>
      </c>
      <c r="H30" s="377">
        <f t="shared" si="7"/>
        <v>2713.0559999999996</v>
      </c>
      <c r="I30" s="377">
        <f t="shared" si="8"/>
        <v>7234.8159999999989</v>
      </c>
      <c r="J30" s="669">
        <f t="shared" ref="J30:J34" si="9">I30*12</f>
        <v>86817.791999999987</v>
      </c>
      <c r="K30" s="455" t="e">
        <f>#REF!+I29+I30</f>
        <v>#REF!</v>
      </c>
    </row>
    <row r="31" spans="1:18" ht="25.5">
      <c r="A31" s="1481"/>
      <c r="B31" s="670" t="s">
        <v>113</v>
      </c>
      <c r="C31" s="671">
        <v>0.78</v>
      </c>
      <c r="D31" s="377">
        <v>6029</v>
      </c>
      <c r="E31" s="377">
        <v>6818.8</v>
      </c>
      <c r="F31" s="377">
        <v>1175.6600000000001</v>
      </c>
      <c r="G31" s="377">
        <v>1175.6600000000001</v>
      </c>
      <c r="H31" s="377">
        <f t="shared" si="7"/>
        <v>5502.0720000000001</v>
      </c>
      <c r="I31" s="377">
        <f t="shared" si="8"/>
        <v>14672.192000000001</v>
      </c>
      <c r="J31" s="669">
        <f t="shared" si="9"/>
        <v>176066.304</v>
      </c>
    </row>
    <row r="32" spans="1:18" ht="38.25" customHeight="1">
      <c r="A32" s="1481"/>
      <c r="B32" s="670" t="s">
        <v>113</v>
      </c>
      <c r="C32" s="671">
        <v>2.34</v>
      </c>
      <c r="D32" s="377">
        <v>6866</v>
      </c>
      <c r="E32" s="377">
        <v>20773.09</v>
      </c>
      <c r="F32" s="377">
        <v>4016.62</v>
      </c>
      <c r="G32" s="377">
        <v>1874.42</v>
      </c>
      <c r="H32" s="377">
        <f t="shared" si="7"/>
        <v>15998.477999999997</v>
      </c>
      <c r="I32" s="377">
        <f t="shared" si="8"/>
        <v>42662.607999999993</v>
      </c>
      <c r="J32" s="669">
        <f t="shared" si="9"/>
        <v>511951.29599999991</v>
      </c>
    </row>
    <row r="33" spans="1:18" ht="25.5">
      <c r="A33" s="1481"/>
      <c r="B33" s="670" t="s">
        <v>114</v>
      </c>
      <c r="C33" s="672">
        <v>1.65</v>
      </c>
      <c r="D33" s="377">
        <v>6866</v>
      </c>
      <c r="E33" s="377">
        <v>14991.89</v>
      </c>
      <c r="F33" s="377">
        <v>2832.23</v>
      </c>
      <c r="G33" s="377">
        <v>1548.3</v>
      </c>
      <c r="H33" s="377">
        <f t="shared" si="7"/>
        <v>11623.451999999999</v>
      </c>
      <c r="I33" s="377">
        <f t="shared" si="8"/>
        <v>30995.871999999996</v>
      </c>
      <c r="J33" s="669">
        <f t="shared" si="9"/>
        <v>371950.46399999992</v>
      </c>
    </row>
    <row r="34" spans="1:18" ht="26.25" thickBot="1">
      <c r="A34" s="1481"/>
      <c r="B34" s="673" t="s">
        <v>114</v>
      </c>
      <c r="C34" s="674">
        <v>0.66</v>
      </c>
      <c r="D34" s="675">
        <v>6029</v>
      </c>
      <c r="E34" s="675">
        <v>5073.3999999999996</v>
      </c>
      <c r="F34" s="675">
        <v>994.78</v>
      </c>
      <c r="G34" s="675">
        <v>397.92</v>
      </c>
      <c r="H34" s="675">
        <f t="shared" si="7"/>
        <v>3879.6599999999994</v>
      </c>
      <c r="I34" s="675">
        <f t="shared" si="8"/>
        <v>10345.759999999998</v>
      </c>
      <c r="J34" s="669">
        <f t="shared" si="9"/>
        <v>124149.11999999998</v>
      </c>
    </row>
    <row r="35" spans="1:18" ht="26.25" customHeight="1" thickBot="1">
      <c r="A35" s="1481"/>
      <c r="B35" s="462" t="s">
        <v>67</v>
      </c>
      <c r="C35" s="463">
        <f t="shared" ref="C35:J35" si="10">SUM(C29:C34)</f>
        <v>6.43</v>
      </c>
      <c r="D35" s="463">
        <f t="shared" si="10"/>
        <v>38685</v>
      </c>
      <c r="E35" s="463">
        <f t="shared" si="10"/>
        <v>55909.13</v>
      </c>
      <c r="F35" s="463">
        <f t="shared" si="10"/>
        <v>10631.17</v>
      </c>
      <c r="G35" s="463">
        <f t="shared" si="10"/>
        <v>6005.2800000000007</v>
      </c>
      <c r="H35" s="463">
        <f t="shared" si="10"/>
        <v>43527.347999999991</v>
      </c>
      <c r="I35" s="463">
        <f t="shared" si="10"/>
        <v>116072.928</v>
      </c>
      <c r="J35" s="463">
        <f t="shared" si="10"/>
        <v>1392875.1359999997</v>
      </c>
    </row>
    <row r="36" spans="1:18" ht="33" customHeight="1" thickBot="1">
      <c r="A36" s="1481"/>
      <c r="B36" s="676" t="s">
        <v>332</v>
      </c>
      <c r="C36" s="508"/>
      <c r="D36" s="508"/>
      <c r="E36" s="508"/>
      <c r="F36" s="508"/>
      <c r="G36" s="508"/>
      <c r="H36" s="508"/>
      <c r="I36" s="508">
        <f>10119.7-3921.14</f>
        <v>6198.5600000000013</v>
      </c>
      <c r="J36" s="677">
        <f>I36*12</f>
        <v>74382.720000000016</v>
      </c>
    </row>
    <row r="37" spans="1:18" ht="18" customHeight="1" thickBot="1">
      <c r="A37" s="1481"/>
      <c r="B37" s="502" t="s">
        <v>101</v>
      </c>
      <c r="C37" s="463">
        <f t="shared" ref="C37:M37" si="11">SUM(C35:C36)</f>
        <v>6.43</v>
      </c>
      <c r="D37" s="463">
        <f t="shared" si="11"/>
        <v>38685</v>
      </c>
      <c r="E37" s="463">
        <f t="shared" si="11"/>
        <v>55909.13</v>
      </c>
      <c r="F37" s="463">
        <f t="shared" si="11"/>
        <v>10631.17</v>
      </c>
      <c r="G37" s="463">
        <f t="shared" si="11"/>
        <v>6005.2800000000007</v>
      </c>
      <c r="H37" s="463">
        <f t="shared" si="11"/>
        <v>43527.347999999991</v>
      </c>
      <c r="I37" s="463">
        <f t="shared" si="11"/>
        <v>122271.488</v>
      </c>
      <c r="J37" s="463">
        <f t="shared" si="11"/>
        <v>1467257.8559999997</v>
      </c>
      <c r="K37" s="463">
        <f t="shared" si="11"/>
        <v>0</v>
      </c>
      <c r="L37" s="463">
        <f t="shared" si="11"/>
        <v>0</v>
      </c>
      <c r="M37" s="463">
        <f t="shared" si="11"/>
        <v>0</v>
      </c>
    </row>
    <row r="38" spans="1:18" ht="27.75" customHeight="1" thickBot="1">
      <c r="A38" s="1482"/>
      <c r="B38" s="660" t="s">
        <v>85</v>
      </c>
      <c r="C38" s="396">
        <v>0.62</v>
      </c>
      <c r="D38" s="369">
        <v>3016</v>
      </c>
      <c r="E38" s="369">
        <f>C38*D38</f>
        <v>1869.92</v>
      </c>
      <c r="F38" s="369">
        <v>224.39</v>
      </c>
      <c r="G38" s="369">
        <v>467.48</v>
      </c>
      <c r="H38" s="377">
        <f>(E38+F38+G38)*60%</f>
        <v>1537.0739999999998</v>
      </c>
      <c r="I38" s="377">
        <f>E38+F38+G38+H38</f>
        <v>4098.8639999999996</v>
      </c>
      <c r="J38" s="372">
        <f>I38*12</f>
        <v>49186.367999999995</v>
      </c>
    </row>
    <row r="39" spans="1:18" ht="13.5" thickBot="1">
      <c r="A39" s="1483" t="s">
        <v>81</v>
      </c>
      <c r="B39" s="502" t="s">
        <v>68</v>
      </c>
      <c r="C39" s="463">
        <f>SUM(C38:C38)</f>
        <v>0.62</v>
      </c>
      <c r="D39" s="463">
        <f t="shared" ref="D39:J39" si="12">SUM(D38:D38)</f>
        <v>3016</v>
      </c>
      <c r="E39" s="463">
        <f t="shared" si="12"/>
        <v>1869.92</v>
      </c>
      <c r="F39" s="463">
        <f t="shared" si="12"/>
        <v>224.39</v>
      </c>
      <c r="G39" s="463">
        <f t="shared" si="12"/>
        <v>467.48</v>
      </c>
      <c r="H39" s="463">
        <f t="shared" si="12"/>
        <v>1537.0739999999998</v>
      </c>
      <c r="I39" s="463">
        <f t="shared" si="12"/>
        <v>4098.8639999999996</v>
      </c>
      <c r="J39" s="463">
        <f t="shared" si="12"/>
        <v>49186.367999999995</v>
      </c>
    </row>
    <row r="40" spans="1:18">
      <c r="A40" s="1484"/>
      <c r="B40" s="678" t="s">
        <v>56</v>
      </c>
      <c r="C40" s="679"/>
      <c r="D40" s="680"/>
      <c r="E40" s="680"/>
      <c r="F40" s="680"/>
      <c r="G40" s="680"/>
      <c r="H40" s="680"/>
      <c r="I40" s="680"/>
      <c r="J40" s="372">
        <f t="shared" ref="J40" si="13">I40*12</f>
        <v>0</v>
      </c>
    </row>
    <row r="41" spans="1:18" ht="39" thickBot="1">
      <c r="A41" s="1484"/>
      <c r="B41" s="681" t="s">
        <v>78</v>
      </c>
      <c r="C41" s="512"/>
      <c r="D41" s="513"/>
      <c r="E41" s="513"/>
      <c r="F41" s="513"/>
      <c r="G41" s="513"/>
      <c r="H41" s="513"/>
      <c r="I41" s="513">
        <v>9680.02</v>
      </c>
      <c r="J41" s="372">
        <f>I41*12</f>
        <v>116160.24</v>
      </c>
    </row>
    <row r="42" spans="1:18" ht="12.75" customHeight="1" thickBot="1">
      <c r="A42" s="1485"/>
      <c r="B42" s="683"/>
      <c r="C42" s="463">
        <f t="shared" ref="C42:J42" si="14">C39+C40+C41</f>
        <v>0.62</v>
      </c>
      <c r="D42" s="463">
        <f t="shared" si="14"/>
        <v>3016</v>
      </c>
      <c r="E42" s="463">
        <f t="shared" si="14"/>
        <v>1869.92</v>
      </c>
      <c r="F42" s="463">
        <f t="shared" si="14"/>
        <v>224.39</v>
      </c>
      <c r="G42" s="463">
        <f t="shared" si="14"/>
        <v>467.48</v>
      </c>
      <c r="H42" s="463">
        <f t="shared" si="14"/>
        <v>1537.0739999999998</v>
      </c>
      <c r="I42" s="463">
        <f t="shared" si="14"/>
        <v>13778.884</v>
      </c>
      <c r="J42" s="463">
        <f t="shared" si="14"/>
        <v>165346.60800000001</v>
      </c>
    </row>
    <row r="43" spans="1:18" ht="36.75" customHeight="1" thickBot="1">
      <c r="A43" s="684"/>
      <c r="B43" s="685" t="s">
        <v>337</v>
      </c>
      <c r="C43" s="686">
        <f>C19+C27+C37+C42</f>
        <v>12.819999999999999</v>
      </c>
      <c r="D43" s="686">
        <f t="shared" ref="D43:R43" si="15">D19+D27+D37+D42</f>
        <v>79306</v>
      </c>
      <c r="E43" s="686">
        <f t="shared" si="15"/>
        <v>110503.62999999999</v>
      </c>
      <c r="F43" s="686">
        <f t="shared" si="15"/>
        <v>21555.5</v>
      </c>
      <c r="G43" s="686">
        <f t="shared" si="15"/>
        <v>13572.59</v>
      </c>
      <c r="H43" s="686">
        <f t="shared" si="15"/>
        <v>87379.031999999977</v>
      </c>
      <c r="I43" s="686">
        <f t="shared" si="15"/>
        <v>322883.79200000002</v>
      </c>
      <c r="J43" s="686">
        <f t="shared" si="15"/>
        <v>3874605.5039999997</v>
      </c>
      <c r="K43" s="686">
        <f t="shared" si="15"/>
        <v>0</v>
      </c>
      <c r="L43" s="686">
        <f t="shared" si="15"/>
        <v>0</v>
      </c>
      <c r="M43" s="686">
        <f t="shared" si="15"/>
        <v>0</v>
      </c>
      <c r="N43" s="686" t="e">
        <f t="shared" si="15"/>
        <v>#REF!</v>
      </c>
      <c r="O43" s="686">
        <f t="shared" si="15"/>
        <v>28264.21</v>
      </c>
      <c r="P43" s="686">
        <f t="shared" si="15"/>
        <v>0</v>
      </c>
      <c r="Q43" s="686">
        <f t="shared" si="15"/>
        <v>0</v>
      </c>
      <c r="R43" s="686">
        <f t="shared" si="15"/>
        <v>2919085.3540800004</v>
      </c>
    </row>
    <row r="44" spans="1:18" ht="18.75" customHeight="1"/>
    <row r="45" spans="1:18" ht="18" customHeight="1">
      <c r="C45" s="687" t="s">
        <v>200</v>
      </c>
      <c r="D45" s="687"/>
      <c r="E45" s="687"/>
      <c r="F45" s="687"/>
      <c r="G45" s="687"/>
      <c r="H45" s="687"/>
    </row>
    <row r="46" spans="1:18" ht="21" customHeight="1" thickBot="1"/>
    <row r="47" spans="1:18" ht="21.75" customHeight="1">
      <c r="A47" s="1471" t="s">
        <v>17</v>
      </c>
      <c r="B47" s="1473" t="s">
        <v>18</v>
      </c>
      <c r="C47" s="1458" t="s">
        <v>20</v>
      </c>
      <c r="D47" s="1458" t="s">
        <v>21</v>
      </c>
      <c r="E47" s="1458" t="s">
        <v>5</v>
      </c>
      <c r="F47" s="1458" t="s">
        <v>6</v>
      </c>
      <c r="G47" s="1458"/>
      <c r="H47" s="1458" t="s">
        <v>7</v>
      </c>
      <c r="I47" s="1458" t="s">
        <v>22</v>
      </c>
      <c r="J47" s="1460" t="s">
        <v>196</v>
      </c>
    </row>
    <row r="48" spans="1:18" ht="39.75" customHeight="1" thickBot="1">
      <c r="A48" s="1472"/>
      <c r="B48" s="1474"/>
      <c r="C48" s="1459"/>
      <c r="D48" s="1459"/>
      <c r="E48" s="1459"/>
      <c r="F48" s="664" t="s">
        <v>24</v>
      </c>
      <c r="G48" s="664" t="s">
        <v>25</v>
      </c>
      <c r="H48" s="1459"/>
      <c r="I48" s="1459"/>
      <c r="J48" s="1461"/>
    </row>
    <row r="49" spans="1:18" ht="20.25" customHeight="1">
      <c r="A49" s="665"/>
      <c r="B49" s="1464"/>
      <c r="C49" s="1296"/>
      <c r="D49" s="1296"/>
      <c r="E49" s="1296"/>
      <c r="F49" s="1296"/>
      <c r="G49" s="1296"/>
      <c r="H49" s="1296"/>
      <c r="I49" s="1296"/>
      <c r="J49" s="1465"/>
    </row>
    <row r="50" spans="1:18" ht="24.75" customHeight="1">
      <c r="A50" s="1466" t="s">
        <v>59</v>
      </c>
      <c r="B50" s="366" t="s">
        <v>338</v>
      </c>
      <c r="C50" s="688">
        <v>1</v>
      </c>
      <c r="D50" s="689">
        <v>9718</v>
      </c>
      <c r="E50" s="690">
        <f>C50*D50</f>
        <v>9718</v>
      </c>
      <c r="F50" s="689">
        <f>E50*25%</f>
        <v>2429.5</v>
      </c>
      <c r="G50" s="689"/>
      <c r="H50" s="689">
        <f>(E50+F50+G50)*60%</f>
        <v>7288.5</v>
      </c>
      <c r="I50" s="689">
        <f>E50+F50+G50+H50</f>
        <v>19436</v>
      </c>
      <c r="J50" s="691">
        <f>I50*12</f>
        <v>233232</v>
      </c>
    </row>
    <row r="51" spans="1:18" ht="23.25" customHeight="1" thickBot="1">
      <c r="A51" s="1467"/>
      <c r="B51" s="401" t="s">
        <v>116</v>
      </c>
      <c r="C51" s="692">
        <v>0.5</v>
      </c>
      <c r="D51" s="693">
        <v>7521</v>
      </c>
      <c r="E51" s="694">
        <v>4512.6000000000004</v>
      </c>
      <c r="F51" s="693">
        <v>940.13</v>
      </c>
      <c r="G51" s="693"/>
      <c r="H51" s="689">
        <f>(E51+F51+G51)*60%</f>
        <v>3271.6380000000004</v>
      </c>
      <c r="I51" s="689">
        <f>E51+F51+G51+H51</f>
        <v>8724.3680000000004</v>
      </c>
      <c r="J51" s="691">
        <f>I51*12</f>
        <v>104692.416</v>
      </c>
    </row>
    <row r="52" spans="1:18" ht="25.5" customHeight="1" thickBot="1">
      <c r="A52" s="1468"/>
      <c r="B52" s="456"/>
      <c r="C52" s="695">
        <f>SUM(C50:C51)</f>
        <v>1.5</v>
      </c>
      <c r="D52" s="696">
        <f t="shared" ref="D52:J52" si="16">SUM(D50:D51)</f>
        <v>17239</v>
      </c>
      <c r="E52" s="696">
        <f t="shared" si="16"/>
        <v>14230.6</v>
      </c>
      <c r="F52" s="696">
        <f t="shared" si="16"/>
        <v>3369.63</v>
      </c>
      <c r="G52" s="696">
        <f t="shared" si="16"/>
        <v>0</v>
      </c>
      <c r="H52" s="696">
        <f t="shared" si="16"/>
        <v>10560.138000000001</v>
      </c>
      <c r="I52" s="696">
        <f t="shared" si="16"/>
        <v>28160.368000000002</v>
      </c>
      <c r="J52" s="696">
        <f t="shared" si="16"/>
        <v>337924.41599999997</v>
      </c>
    </row>
    <row r="53" spans="1:18" ht="25.5" customHeight="1" thickBot="1">
      <c r="A53" s="1468"/>
      <c r="B53" s="697" t="s">
        <v>339</v>
      </c>
      <c r="C53" s="698"/>
      <c r="D53" s="699"/>
      <c r="E53" s="699"/>
      <c r="F53" s="376"/>
      <c r="G53" s="376"/>
      <c r="H53" s="376"/>
      <c r="I53" s="376">
        <v>11000</v>
      </c>
      <c r="J53" s="682">
        <f>I53*12</f>
        <v>132000</v>
      </c>
    </row>
    <row r="54" spans="1:18" ht="21.75" customHeight="1" thickBot="1">
      <c r="A54" s="700"/>
      <c r="B54" s="701" t="s">
        <v>340</v>
      </c>
      <c r="C54" s="702">
        <f>C52+C53</f>
        <v>1.5</v>
      </c>
      <c r="D54" s="702">
        <f t="shared" ref="D54:J54" si="17">D52+D53</f>
        <v>17239</v>
      </c>
      <c r="E54" s="702">
        <f t="shared" si="17"/>
        <v>14230.6</v>
      </c>
      <c r="F54" s="702">
        <f t="shared" si="17"/>
        <v>3369.63</v>
      </c>
      <c r="G54" s="702">
        <f t="shared" si="17"/>
        <v>0</v>
      </c>
      <c r="H54" s="702">
        <f t="shared" si="17"/>
        <v>10560.138000000001</v>
      </c>
      <c r="I54" s="702">
        <f t="shared" si="17"/>
        <v>39160.368000000002</v>
      </c>
      <c r="J54" s="702">
        <f t="shared" si="17"/>
        <v>469924.41599999997</v>
      </c>
      <c r="K54" s="702">
        <f t="shared" ref="K54" si="18">SUM(K52)</f>
        <v>0</v>
      </c>
    </row>
    <row r="55" spans="1:18" ht="26.25" customHeight="1" thickBot="1">
      <c r="A55" s="456"/>
      <c r="B55" s="703" t="s">
        <v>341</v>
      </c>
      <c r="C55" s="704">
        <f>C43+C54</f>
        <v>14.319999999999999</v>
      </c>
      <c r="D55" s="704">
        <f t="shared" ref="D55:J55" si="19">D43+D54</f>
        <v>96545</v>
      </c>
      <c r="E55" s="704">
        <f t="shared" si="19"/>
        <v>124734.23</v>
      </c>
      <c r="F55" s="704">
        <f t="shared" si="19"/>
        <v>24925.13</v>
      </c>
      <c r="G55" s="704">
        <f t="shared" si="19"/>
        <v>13572.59</v>
      </c>
      <c r="H55" s="704">
        <f t="shared" si="19"/>
        <v>97939.169999999984</v>
      </c>
      <c r="I55" s="704">
        <f t="shared" si="19"/>
        <v>362044.16000000003</v>
      </c>
      <c r="J55" s="704">
        <f t="shared" si="19"/>
        <v>4344529.92</v>
      </c>
    </row>
    <row r="56" spans="1:18" ht="21" customHeight="1">
      <c r="J56" s="364">
        <f>I55*12</f>
        <v>4344529.92</v>
      </c>
    </row>
    <row r="57" spans="1:18" ht="72" hidden="1" customHeight="1">
      <c r="B57" s="364" t="s">
        <v>194</v>
      </c>
    </row>
    <row r="58" spans="1:18" ht="24" hidden="1" customHeight="1"/>
    <row r="59" spans="1:18" ht="72" hidden="1" customHeight="1"/>
    <row r="60" spans="1:18" ht="27" customHeight="1">
      <c r="A60" s="1469" t="s">
        <v>342</v>
      </c>
      <c r="B60" s="1470"/>
      <c r="C60" s="469">
        <f>C37+C42+C54+C19</f>
        <v>9.5500000000000007</v>
      </c>
      <c r="D60" s="469">
        <f t="shared" ref="D60:J60" si="20">D37+D42+D54+D19</f>
        <v>70181</v>
      </c>
      <c r="E60" s="469">
        <f t="shared" si="20"/>
        <v>83250.649999999994</v>
      </c>
      <c r="F60" s="469">
        <f t="shared" si="20"/>
        <v>17035.439999999999</v>
      </c>
      <c r="G60" s="469">
        <f t="shared" si="20"/>
        <v>9283.01</v>
      </c>
      <c r="H60" s="469">
        <f t="shared" si="20"/>
        <v>65741.459999999992</v>
      </c>
      <c r="I60" s="469">
        <f t="shared" si="20"/>
        <v>207584.82</v>
      </c>
      <c r="J60" s="469">
        <f t="shared" si="20"/>
        <v>2491017.84</v>
      </c>
      <c r="K60" s="469" t="e">
        <f>#REF!+K37+K42+K3+K54</f>
        <v>#REF!</v>
      </c>
      <c r="L60" s="469" t="e">
        <f>#REF!+L37+L42+L3+L54</f>
        <v>#REF!</v>
      </c>
      <c r="M60" s="469" t="e">
        <f>#REF!+M37+M42+M3+M54</f>
        <v>#REF!</v>
      </c>
    </row>
    <row r="61" spans="1:18" ht="33.75" customHeight="1">
      <c r="A61" s="1475" t="s">
        <v>343</v>
      </c>
      <c r="B61" s="1476"/>
      <c r="C61" s="522">
        <f>C27</f>
        <v>4.7700000000000005</v>
      </c>
      <c r="D61" s="522">
        <f t="shared" ref="D61:R61" si="21">D27</f>
        <v>26364</v>
      </c>
      <c r="E61" s="522">
        <f t="shared" si="21"/>
        <v>41483.58</v>
      </c>
      <c r="F61" s="522">
        <f t="shared" si="21"/>
        <v>7889.6900000000005</v>
      </c>
      <c r="G61" s="522">
        <f t="shared" si="21"/>
        <v>4289.58</v>
      </c>
      <c r="H61" s="522">
        <f t="shared" si="21"/>
        <v>32197.709999999995</v>
      </c>
      <c r="I61" s="522">
        <f t="shared" si="21"/>
        <v>154459.34</v>
      </c>
      <c r="J61" s="522">
        <f t="shared" si="21"/>
        <v>1853512.08</v>
      </c>
      <c r="K61" s="522">
        <f t="shared" si="21"/>
        <v>0</v>
      </c>
      <c r="L61" s="522">
        <f t="shared" si="21"/>
        <v>0</v>
      </c>
      <c r="M61" s="522">
        <f t="shared" si="21"/>
        <v>0</v>
      </c>
      <c r="N61" s="522">
        <f t="shared" si="21"/>
        <v>144564</v>
      </c>
      <c r="O61" s="522">
        <f t="shared" si="21"/>
        <v>0</v>
      </c>
      <c r="P61" s="522">
        <f t="shared" si="21"/>
        <v>0</v>
      </c>
      <c r="Q61" s="522">
        <f t="shared" si="21"/>
        <v>0</v>
      </c>
      <c r="R61" s="522">
        <f t="shared" si="21"/>
        <v>2413272.7281600004</v>
      </c>
    </row>
    <row r="62" spans="1:18" ht="12.75" customHeight="1">
      <c r="C62" s="461">
        <f>SUM(C60:C61)</f>
        <v>14.32</v>
      </c>
      <c r="I62" s="461">
        <f>SUM(I60:I61)</f>
        <v>362044.16000000003</v>
      </c>
      <c r="J62" s="461">
        <f>SUM(J60:J61)</f>
        <v>4344529.92</v>
      </c>
    </row>
    <row r="63" spans="1:18" ht="96" customHeight="1">
      <c r="I63" s="461"/>
      <c r="J63" s="461"/>
    </row>
    <row r="64" spans="1:18" ht="72" customHeight="1">
      <c r="I64" s="705"/>
    </row>
    <row r="65" spans="9:9" ht="13.5" customHeight="1">
      <c r="I65" s="476"/>
    </row>
    <row r="66" spans="9:9" ht="12.75" customHeight="1"/>
    <row r="67" spans="9:9" ht="12" customHeight="1"/>
    <row r="68" spans="9:9" ht="13.5" customHeight="1"/>
    <row r="69" spans="9:9" ht="15.75" customHeight="1">
      <c r="I69" s="461"/>
    </row>
    <row r="71" spans="9:9" ht="12.75" customHeight="1"/>
    <row r="72" spans="9:9" ht="12.75" customHeight="1"/>
    <row r="74" spans="9:9" ht="52.5" customHeight="1"/>
    <row r="75" spans="9:9" ht="13.5" customHeight="1"/>
    <row r="76" spans="9:9" ht="13.5" customHeight="1"/>
    <row r="77" spans="9:9" ht="24.75" customHeight="1"/>
    <row r="78" spans="9:9" ht="12.75" customHeight="1"/>
    <row r="79" spans="9:9" ht="36.75" customHeight="1"/>
    <row r="80" spans="9:9" ht="13.5" customHeight="1"/>
    <row r="81" ht="132" customHeight="1"/>
    <row r="82" ht="132" customHeight="1"/>
    <row r="83" ht="12" customHeight="1"/>
    <row r="84" ht="132" customHeight="1"/>
    <row r="85" ht="132" customHeight="1"/>
    <row r="86" ht="12.75" customHeight="1"/>
    <row r="87" ht="12.75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.75" customHeight="1"/>
    <row r="96" ht="12.75" customHeight="1"/>
    <row r="103" ht="15.75" customHeight="1"/>
    <row r="106" ht="15.75" customHeight="1"/>
  </sheetData>
  <mergeCells count="31">
    <mergeCell ref="A61:B61"/>
    <mergeCell ref="A17:A27"/>
    <mergeCell ref="A28:A38"/>
    <mergeCell ref="A39:A42"/>
    <mergeCell ref="I47:I48"/>
    <mergeCell ref="J47:J48"/>
    <mergeCell ref="B49:J49"/>
    <mergeCell ref="A50:A53"/>
    <mergeCell ref="A60:B60"/>
    <mergeCell ref="D7:E7"/>
    <mergeCell ref="F7:G7"/>
    <mergeCell ref="A13:A14"/>
    <mergeCell ref="B13:B14"/>
    <mergeCell ref="C13:C14"/>
    <mergeCell ref="D13:D14"/>
    <mergeCell ref="E13:E14"/>
    <mergeCell ref="F13:G13"/>
    <mergeCell ref="A47:A48"/>
    <mergeCell ref="B47:B48"/>
    <mergeCell ref="C47:C48"/>
    <mergeCell ref="D47:D48"/>
    <mergeCell ref="A15:A16"/>
    <mergeCell ref="E47:E48"/>
    <mergeCell ref="F47:G47"/>
    <mergeCell ref="H47:H48"/>
    <mergeCell ref="H13:H14"/>
    <mergeCell ref="I13:I14"/>
    <mergeCell ref="J13:J14"/>
    <mergeCell ref="H1:J1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I6" sqref="I6:I7"/>
    </sheetView>
  </sheetViews>
  <sheetFormatPr defaultRowHeight="15"/>
  <cols>
    <col min="1" max="1" width="22" customWidth="1"/>
    <col min="2" max="3" width="18.7109375" customWidth="1"/>
    <col min="4" max="4" width="19" customWidth="1"/>
    <col min="5" max="5" width="19.28515625" customWidth="1"/>
    <col min="6" max="6" width="21.28515625" customWidth="1"/>
  </cols>
  <sheetData>
    <row r="1" spans="1:8" ht="53.25" customHeight="1">
      <c r="C1" t="s">
        <v>216</v>
      </c>
    </row>
    <row r="2" spans="1:8" ht="53.25" customHeight="1"/>
    <row r="3" spans="1:8" ht="104.25" customHeight="1">
      <c r="A3" s="402" t="s">
        <v>208</v>
      </c>
      <c r="B3" s="402" t="s">
        <v>209</v>
      </c>
      <c r="C3" s="402" t="s">
        <v>210</v>
      </c>
      <c r="D3" s="402" t="s">
        <v>211</v>
      </c>
      <c r="E3" s="402" t="s">
        <v>212</v>
      </c>
      <c r="F3" s="402" t="s">
        <v>213</v>
      </c>
    </row>
    <row r="4" spans="1:8" ht="57" customHeight="1">
      <c r="A4" s="404">
        <v>2667800</v>
      </c>
      <c r="B4" s="404">
        <v>2099796.96</v>
      </c>
      <c r="C4" s="406">
        <f>B4-A4</f>
        <v>-568003.04</v>
      </c>
      <c r="D4" s="404">
        <v>3540200</v>
      </c>
      <c r="E4" s="404">
        <f>304273.42+3803926.58</f>
        <v>4108200</v>
      </c>
      <c r="F4" s="406">
        <f>E4-D4</f>
        <v>568000</v>
      </c>
      <c r="H4" s="405">
        <f>F4-568000</f>
        <v>0</v>
      </c>
    </row>
    <row r="5" spans="1:8" ht="19.5" customHeight="1">
      <c r="A5" s="403"/>
      <c r="B5" s="403"/>
      <c r="C5" s="403"/>
      <c r="D5" s="403"/>
      <c r="E5" s="403"/>
      <c r="F5" s="403"/>
    </row>
    <row r="6" spans="1:8" ht="52.5" customHeight="1">
      <c r="A6" t="s">
        <v>215</v>
      </c>
    </row>
    <row r="8" spans="1:8">
      <c r="A8" t="s">
        <v>214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38"/>
  <sheetViews>
    <sheetView topLeftCell="A11" workbookViewId="0">
      <selection activeCell="C18" sqref="C18"/>
    </sheetView>
  </sheetViews>
  <sheetFormatPr defaultRowHeight="12.75"/>
  <cols>
    <col min="1" max="1" width="8.7109375" style="589" customWidth="1"/>
    <col min="2" max="2" width="6.140625" style="589" customWidth="1"/>
    <col min="3" max="3" width="16.5703125" style="589" customWidth="1"/>
    <col min="4" max="4" width="6.42578125" style="589" customWidth="1"/>
    <col min="5" max="5" width="12.5703125" style="589" customWidth="1"/>
    <col min="6" max="6" width="11.85546875" style="589" customWidth="1"/>
    <col min="7" max="7" width="9.28515625" style="589" customWidth="1"/>
    <col min="8" max="8" width="12.140625" style="589" customWidth="1"/>
    <col min="9" max="9" width="6.7109375" style="589" customWidth="1"/>
    <col min="10" max="10" width="11.28515625" style="589" customWidth="1"/>
    <col min="11" max="11" width="7.7109375" style="589" customWidth="1"/>
    <col min="12" max="12" width="12" style="589" customWidth="1"/>
    <col min="13" max="13" width="7.42578125" style="589" customWidth="1"/>
    <col min="14" max="14" width="11.5703125" style="589" customWidth="1"/>
    <col min="15" max="15" width="12.140625" style="589" customWidth="1"/>
    <col min="16" max="16" width="13.42578125" style="589" customWidth="1"/>
    <col min="17" max="17" width="12.85546875" style="589" customWidth="1"/>
    <col min="18" max="18" width="14.7109375" style="589" customWidth="1"/>
    <col min="19" max="19" width="11.7109375" style="589" hidden="1" customWidth="1"/>
    <col min="20" max="20" width="17.5703125" style="589" customWidth="1"/>
    <col min="21" max="16384" width="9.140625" style="589"/>
  </cols>
  <sheetData>
    <row r="1" spans="1:18" ht="15" customHeight="1">
      <c r="N1" s="589" t="s">
        <v>383</v>
      </c>
    </row>
    <row r="2" spans="1:18" ht="37.5" customHeight="1">
      <c r="A2" s="590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1439" t="s">
        <v>0</v>
      </c>
      <c r="O2" s="1439"/>
      <c r="P2" s="1440"/>
      <c r="Q2" s="1440"/>
      <c r="R2" s="740"/>
    </row>
    <row r="4" spans="1:18">
      <c r="A4" s="590"/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 t="s">
        <v>2</v>
      </c>
      <c r="M4" s="590"/>
      <c r="N4" s="591" t="s">
        <v>1</v>
      </c>
      <c r="O4" s="592"/>
      <c r="P4" s="592"/>
      <c r="Q4" s="592"/>
      <c r="R4" s="592"/>
    </row>
    <row r="5" spans="1:18">
      <c r="A5" s="590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 t="s">
        <v>4</v>
      </c>
      <c r="M5" s="590"/>
      <c r="N5" s="591" t="s">
        <v>227</v>
      </c>
      <c r="O5" s="592"/>
      <c r="P5" s="592"/>
      <c r="Q5" s="592"/>
      <c r="R5" s="592"/>
    </row>
    <row r="6" spans="1:18">
      <c r="A6" s="590"/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2"/>
    </row>
    <row r="7" spans="1:18" hidden="1">
      <c r="A7" s="590"/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2"/>
    </row>
    <row r="8" spans="1:18" ht="38.25">
      <c r="A8" s="590"/>
      <c r="B8" s="590"/>
      <c r="C8" s="590"/>
      <c r="D8" s="590"/>
      <c r="E8" s="590"/>
      <c r="F8" s="590"/>
      <c r="G8" s="741" t="s">
        <v>223</v>
      </c>
      <c r="H8" s="741" t="s">
        <v>224</v>
      </c>
      <c r="I8" s="590"/>
      <c r="J8" s="590"/>
      <c r="K8" s="590" t="s">
        <v>225</v>
      </c>
      <c r="L8" s="590"/>
      <c r="M8" s="590"/>
      <c r="N8" s="590"/>
      <c r="O8" s="590"/>
      <c r="P8" s="590"/>
      <c r="Q8" s="590"/>
      <c r="R8" s="592"/>
    </row>
    <row r="9" spans="1:18" ht="21" customHeight="1">
      <c r="A9" s="590"/>
      <c r="B9" s="590"/>
      <c r="C9" s="1489" t="s">
        <v>222</v>
      </c>
      <c r="D9" s="1490"/>
      <c r="E9" s="1490"/>
      <c r="F9" s="1491"/>
      <c r="G9" s="742">
        <v>1</v>
      </c>
      <c r="H9" s="743">
        <v>44925</v>
      </c>
      <c r="I9" s="590"/>
      <c r="J9" s="590"/>
      <c r="K9" s="590"/>
      <c r="L9" s="590"/>
      <c r="M9" s="590"/>
      <c r="N9" s="590"/>
      <c r="O9" s="590"/>
      <c r="P9" s="590"/>
      <c r="Q9" s="590"/>
      <c r="R9" s="592"/>
    </row>
    <row r="10" spans="1:18" ht="14.25">
      <c r="A10" s="590"/>
      <c r="B10" s="590"/>
      <c r="C10" s="1492" t="s">
        <v>258</v>
      </c>
      <c r="D10" s="1493"/>
      <c r="E10" s="1493"/>
      <c r="F10" s="1493"/>
      <c r="G10" s="590"/>
      <c r="H10" s="590"/>
      <c r="I10" s="590"/>
      <c r="J10" s="590" t="s">
        <v>384</v>
      </c>
      <c r="K10" s="590"/>
      <c r="L10" s="590"/>
      <c r="M10" s="590"/>
      <c r="N10" s="590"/>
      <c r="O10" s="590"/>
      <c r="P10" s="590"/>
      <c r="Q10" s="590"/>
      <c r="R10" s="592"/>
    </row>
    <row r="11" spans="1:18" ht="15" customHeight="1">
      <c r="A11" s="590"/>
      <c r="B11" s="590"/>
      <c r="C11" s="1494" t="s">
        <v>380</v>
      </c>
      <c r="D11" s="1495"/>
      <c r="E11" s="1495"/>
      <c r="F11" s="1495"/>
      <c r="G11" s="1495"/>
      <c r="H11" s="590"/>
      <c r="I11" s="590"/>
      <c r="J11" s="590" t="s">
        <v>230</v>
      </c>
      <c r="K11" s="590"/>
      <c r="L11" s="744">
        <f>D24</f>
        <v>6</v>
      </c>
      <c r="M11" s="590" t="s">
        <v>259</v>
      </c>
      <c r="N11" s="590"/>
      <c r="O11" s="590"/>
      <c r="P11" s="590"/>
      <c r="Q11" s="590"/>
      <c r="R11" s="592"/>
    </row>
    <row r="12" spans="1:18" ht="15">
      <c r="A12" s="590"/>
      <c r="B12" s="590"/>
      <c r="C12" s="590"/>
      <c r="D12" s="590"/>
      <c r="E12" s="590"/>
      <c r="F12" s="590"/>
      <c r="G12" s="590"/>
      <c r="H12" s="590"/>
      <c r="I12" s="590"/>
      <c r="J12" s="590" t="s">
        <v>231</v>
      </c>
      <c r="K12" s="590"/>
      <c r="L12" s="590"/>
      <c r="M12" s="1496">
        <f>P24</f>
        <v>315642.83999999997</v>
      </c>
      <c r="N12" s="1497"/>
      <c r="O12" s="590"/>
      <c r="P12" s="590"/>
      <c r="Q12" s="590"/>
      <c r="R12" s="592"/>
    </row>
    <row r="13" spans="1:18">
      <c r="A13" s="590"/>
      <c r="B13" s="590"/>
      <c r="C13" s="590"/>
      <c r="D13" s="590"/>
      <c r="E13" s="590"/>
      <c r="F13" s="590"/>
      <c r="G13" s="590"/>
      <c r="H13" s="590"/>
      <c r="I13" s="590"/>
      <c r="J13" s="590"/>
      <c r="K13" s="590"/>
      <c r="L13" s="590"/>
      <c r="M13" s="597"/>
      <c r="N13" s="590"/>
      <c r="O13" s="590"/>
      <c r="P13" s="590"/>
      <c r="Q13" s="590"/>
      <c r="R13" s="592"/>
    </row>
    <row r="14" spans="1:18" ht="15" customHeight="1">
      <c r="A14" s="1441" t="s">
        <v>232</v>
      </c>
      <c r="B14" s="1442"/>
      <c r="C14" s="1441" t="s">
        <v>233</v>
      </c>
      <c r="D14" s="1441" t="s">
        <v>234</v>
      </c>
      <c r="E14" s="1441" t="s">
        <v>235</v>
      </c>
      <c r="F14" s="1443" t="s">
        <v>5</v>
      </c>
      <c r="G14" s="1441" t="s">
        <v>6</v>
      </c>
      <c r="H14" s="1441"/>
      <c r="I14" s="1441"/>
      <c r="J14" s="1441"/>
      <c r="K14" s="1441"/>
      <c r="L14" s="1441"/>
      <c r="M14" s="1441"/>
      <c r="N14" s="737"/>
      <c r="O14" s="1443" t="s">
        <v>7</v>
      </c>
      <c r="P14" s="1444" t="s">
        <v>236</v>
      </c>
      <c r="Q14" s="1445" t="s">
        <v>260</v>
      </c>
      <c r="R14" s="1445" t="s">
        <v>196</v>
      </c>
    </row>
    <row r="15" spans="1:18" ht="73.5" customHeight="1">
      <c r="A15" s="739" t="s">
        <v>237</v>
      </c>
      <c r="B15" s="739" t="s">
        <v>1</v>
      </c>
      <c r="C15" s="1441"/>
      <c r="D15" s="1441"/>
      <c r="E15" s="1441"/>
      <c r="F15" s="1443"/>
      <c r="G15" s="609" t="s">
        <v>238</v>
      </c>
      <c r="H15" s="739" t="s">
        <v>261</v>
      </c>
      <c r="I15" s="739" t="s">
        <v>238</v>
      </c>
      <c r="J15" s="739" t="s">
        <v>262</v>
      </c>
      <c r="K15" s="739" t="s">
        <v>263</v>
      </c>
      <c r="L15" s="739" t="s">
        <v>264</v>
      </c>
      <c r="M15" s="739" t="s">
        <v>238</v>
      </c>
      <c r="N15" s="739" t="s">
        <v>265</v>
      </c>
      <c r="O15" s="1443"/>
      <c r="P15" s="1499"/>
      <c r="Q15" s="1445"/>
      <c r="R15" s="1445"/>
    </row>
    <row r="16" spans="1:18" ht="20.25" customHeight="1">
      <c r="A16" s="613">
        <v>1</v>
      </c>
      <c r="B16" s="613"/>
      <c r="C16" s="613">
        <v>2</v>
      </c>
      <c r="D16" s="613">
        <v>3</v>
      </c>
      <c r="E16" s="613">
        <v>4</v>
      </c>
      <c r="F16" s="613">
        <v>5</v>
      </c>
      <c r="G16" s="613">
        <v>6</v>
      </c>
      <c r="H16" s="613">
        <v>7</v>
      </c>
      <c r="I16" s="613">
        <v>8</v>
      </c>
      <c r="J16" s="613">
        <v>9</v>
      </c>
      <c r="K16" s="613">
        <v>10</v>
      </c>
      <c r="L16" s="613">
        <v>11</v>
      </c>
      <c r="M16" s="613">
        <v>12</v>
      </c>
      <c r="N16" s="613">
        <v>13</v>
      </c>
      <c r="O16" s="613">
        <v>14</v>
      </c>
      <c r="P16" s="613">
        <v>15</v>
      </c>
      <c r="Q16" s="614"/>
      <c r="R16" s="614"/>
    </row>
    <row r="17" spans="1:20" ht="21.75" customHeight="1">
      <c r="A17" s="1486" t="s">
        <v>244</v>
      </c>
      <c r="B17" s="745">
        <v>1</v>
      </c>
      <c r="C17" s="736" t="s">
        <v>246</v>
      </c>
      <c r="D17" s="617">
        <v>1</v>
      </c>
      <c r="E17" s="618">
        <v>8476</v>
      </c>
      <c r="F17" s="746">
        <f>D17*E17</f>
        <v>8476</v>
      </c>
      <c r="G17" s="620">
        <v>0.8</v>
      </c>
      <c r="H17" s="621">
        <f>E17*G17</f>
        <v>6780.8</v>
      </c>
      <c r="I17" s="620">
        <v>0.1</v>
      </c>
      <c r="J17" s="621">
        <f>E17*I17</f>
        <v>847.6</v>
      </c>
      <c r="K17" s="747">
        <v>2.4</v>
      </c>
      <c r="L17" s="621">
        <f>E17*K17</f>
        <v>20342.399999999998</v>
      </c>
      <c r="M17" s="620">
        <v>0.25</v>
      </c>
      <c r="N17" s="622">
        <f>E17*M17</f>
        <v>2119</v>
      </c>
      <c r="O17" s="621">
        <f>(N17+L17+J17+H17+E17)*60%</f>
        <v>23139.479999999996</v>
      </c>
      <c r="P17" s="623">
        <f t="shared" ref="P17:P22" si="0">O17+N17+L17+J17+H17+F17</f>
        <v>61705.279999999992</v>
      </c>
      <c r="Q17" s="748">
        <f>E17*3.5*1.6</f>
        <v>47465.600000000006</v>
      </c>
      <c r="R17" s="624">
        <f>P17*12+Q17+723.2</f>
        <v>788652.1599999998</v>
      </c>
      <c r="S17" s="753">
        <f>P17*10%</f>
        <v>6170.5279999999993</v>
      </c>
    </row>
    <row r="18" spans="1:20" ht="45.75" customHeight="1">
      <c r="A18" s="1486"/>
      <c r="B18" s="745">
        <v>2</v>
      </c>
      <c r="C18" s="1011" t="s">
        <v>382</v>
      </c>
      <c r="D18" s="617">
        <v>1</v>
      </c>
      <c r="E18" s="618">
        <v>7218</v>
      </c>
      <c r="F18" s="746">
        <f>D18*E18</f>
        <v>7218</v>
      </c>
      <c r="G18" s="620">
        <v>0.8</v>
      </c>
      <c r="H18" s="621">
        <f>E18*G18</f>
        <v>5774.4000000000005</v>
      </c>
      <c r="I18" s="620">
        <v>0.3</v>
      </c>
      <c r="J18" s="621">
        <f>E18*I18</f>
        <v>2165.4</v>
      </c>
      <c r="K18" s="747">
        <v>2.2000000000000002</v>
      </c>
      <c r="L18" s="621">
        <f>E18*K18</f>
        <v>15879.600000000002</v>
      </c>
      <c r="M18" s="620"/>
      <c r="N18" s="622">
        <f>E18*M18</f>
        <v>0</v>
      </c>
      <c r="O18" s="621">
        <f>(N18+L18+J18+H18+E18)*60%</f>
        <v>18622.440000000002</v>
      </c>
      <c r="P18" s="623">
        <f t="shared" si="0"/>
        <v>49659.840000000011</v>
      </c>
      <c r="Q18" s="748">
        <f>E18*3.5*1.6</f>
        <v>40420.800000000003</v>
      </c>
      <c r="R18" s="624">
        <f>P18*12+Q18+8262.08</f>
        <v>644600.96000000008</v>
      </c>
      <c r="S18" s="753"/>
      <c r="T18" s="754"/>
    </row>
    <row r="19" spans="1:20" ht="54" customHeight="1">
      <c r="A19" s="1487"/>
      <c r="B19" s="745">
        <v>3</v>
      </c>
      <c r="C19" s="736" t="s">
        <v>266</v>
      </c>
      <c r="D19" s="617">
        <v>1</v>
      </c>
      <c r="E19" s="618">
        <v>6114</v>
      </c>
      <c r="F19" s="746">
        <f t="shared" ref="F19:F22" si="1">D19*E19</f>
        <v>6114</v>
      </c>
      <c r="G19" s="620">
        <v>0.6</v>
      </c>
      <c r="H19" s="621">
        <f>F19*G19</f>
        <v>3668.4</v>
      </c>
      <c r="I19" s="620">
        <v>0.3</v>
      </c>
      <c r="J19" s="621">
        <f>F19*I19</f>
        <v>1834.2</v>
      </c>
      <c r="K19" s="747">
        <v>2.2999999999999998</v>
      </c>
      <c r="L19" s="621">
        <f>F19*K19</f>
        <v>14062.199999999999</v>
      </c>
      <c r="M19" s="620">
        <v>0.35</v>
      </c>
      <c r="N19" s="622">
        <f>F19*M19</f>
        <v>2139.9</v>
      </c>
      <c r="O19" s="621">
        <f>(F19+H19+J19+L19+N19)*60%</f>
        <v>16691.22</v>
      </c>
      <c r="P19" s="623">
        <f t="shared" si="0"/>
        <v>44509.919999999998</v>
      </c>
      <c r="Q19" s="748">
        <f t="shared" ref="Q19:Q22" si="2">E19*3.5*1.6</f>
        <v>34238.400000000001</v>
      </c>
      <c r="R19" s="624">
        <f t="shared" ref="R19:R22" si="3">P19*12+Q19</f>
        <v>568357.44000000006</v>
      </c>
    </row>
    <row r="20" spans="1:20" ht="66.75" customHeight="1">
      <c r="A20" s="1487"/>
      <c r="B20" s="738">
        <v>4</v>
      </c>
      <c r="C20" s="736" t="s">
        <v>267</v>
      </c>
      <c r="D20" s="617">
        <v>1</v>
      </c>
      <c r="E20" s="618">
        <v>6114</v>
      </c>
      <c r="F20" s="746">
        <f t="shared" si="1"/>
        <v>6114</v>
      </c>
      <c r="G20" s="625">
        <v>0.6</v>
      </c>
      <c r="H20" s="621">
        <f t="shared" ref="H20" si="4">E20*G20</f>
        <v>3668.4</v>
      </c>
      <c r="I20" s="625">
        <v>0.2</v>
      </c>
      <c r="J20" s="621">
        <f>E20*I20</f>
        <v>1222.8</v>
      </c>
      <c r="K20" s="617">
        <v>2.2999999999999998</v>
      </c>
      <c r="L20" s="621">
        <f>E20*K20</f>
        <v>14062.199999999999</v>
      </c>
      <c r="M20" s="625">
        <v>0.35</v>
      </c>
      <c r="N20" s="622">
        <f>F20*M20</f>
        <v>2139.9</v>
      </c>
      <c r="O20" s="621">
        <f>(F20+H20+J20+L20+N20)*60%</f>
        <v>16324.38</v>
      </c>
      <c r="P20" s="623">
        <f t="shared" si="0"/>
        <v>43531.68</v>
      </c>
      <c r="Q20" s="748">
        <f t="shared" si="2"/>
        <v>34238.400000000001</v>
      </c>
      <c r="R20" s="624">
        <f t="shared" si="3"/>
        <v>556618.56000000006</v>
      </c>
    </row>
    <row r="21" spans="1:20" ht="54.75" customHeight="1">
      <c r="A21" s="1487"/>
      <c r="B21" s="738">
        <v>5</v>
      </c>
      <c r="C21" s="736" t="s">
        <v>268</v>
      </c>
      <c r="D21" s="617">
        <v>1</v>
      </c>
      <c r="E21" s="618">
        <v>6114</v>
      </c>
      <c r="F21" s="746">
        <f t="shared" si="1"/>
        <v>6114</v>
      </c>
      <c r="G21" s="625">
        <v>0.6</v>
      </c>
      <c r="H21" s="621">
        <f>E21*G21</f>
        <v>3668.4</v>
      </c>
      <c r="I21" s="625">
        <v>0.2</v>
      </c>
      <c r="J21" s="621">
        <f>E21*I21</f>
        <v>1222.8</v>
      </c>
      <c r="K21" s="617">
        <v>2.2999999999999998</v>
      </c>
      <c r="L21" s="621">
        <f>E21*K21</f>
        <v>14062.199999999999</v>
      </c>
      <c r="M21" s="625">
        <v>0.35</v>
      </c>
      <c r="N21" s="622">
        <f>E21*M21</f>
        <v>2139.9</v>
      </c>
      <c r="O21" s="621">
        <f>(F21+H21+J21+L21+N21)*60%</f>
        <v>16324.38</v>
      </c>
      <c r="P21" s="623">
        <f t="shared" si="0"/>
        <v>43531.68</v>
      </c>
      <c r="Q21" s="748">
        <f t="shared" si="2"/>
        <v>34238.400000000001</v>
      </c>
      <c r="R21" s="624">
        <f t="shared" si="3"/>
        <v>556618.56000000006</v>
      </c>
    </row>
    <row r="22" spans="1:20" ht="52.5" customHeight="1">
      <c r="A22" s="1487"/>
      <c r="B22" s="738">
        <v>6</v>
      </c>
      <c r="C22" s="736" t="s">
        <v>269</v>
      </c>
      <c r="D22" s="617">
        <v>1</v>
      </c>
      <c r="E22" s="618">
        <v>6114</v>
      </c>
      <c r="F22" s="746">
        <f t="shared" si="1"/>
        <v>6114</v>
      </c>
      <c r="G22" s="625">
        <v>0.6</v>
      </c>
      <c r="H22" s="621">
        <f t="shared" ref="H22" si="5">E22*G22</f>
        <v>3668.4</v>
      </c>
      <c r="I22" s="625">
        <v>0.1</v>
      </c>
      <c r="J22" s="621">
        <f>E22*I22</f>
        <v>611.4</v>
      </c>
      <c r="K22" s="617">
        <v>2.2999999999999998</v>
      </c>
      <c r="L22" s="621">
        <f>E22*K22</f>
        <v>14062.199999999999</v>
      </c>
      <c r="M22" s="625">
        <v>0.35</v>
      </c>
      <c r="N22" s="622">
        <f>E22*M22</f>
        <v>2139.9</v>
      </c>
      <c r="O22" s="621">
        <f>(N22+L22+J22+H22+E22)*60%</f>
        <v>15957.54</v>
      </c>
      <c r="P22" s="623">
        <f t="shared" si="0"/>
        <v>42553.440000000002</v>
      </c>
      <c r="Q22" s="748">
        <f t="shared" si="2"/>
        <v>34238.400000000001</v>
      </c>
      <c r="R22" s="624">
        <f t="shared" si="3"/>
        <v>544879.68000000005</v>
      </c>
    </row>
    <row r="23" spans="1:20" ht="42.75" customHeight="1" thickBot="1">
      <c r="A23" s="749"/>
      <c r="B23" s="738"/>
      <c r="C23" s="736" t="s">
        <v>391</v>
      </c>
      <c r="D23" s="646"/>
      <c r="E23" s="773"/>
      <c r="F23" s="1016"/>
      <c r="G23" s="775"/>
      <c r="H23" s="649"/>
      <c r="I23" s="775"/>
      <c r="J23" s="649"/>
      <c r="K23" s="646"/>
      <c r="L23" s="649"/>
      <c r="M23" s="775"/>
      <c r="N23" s="776"/>
      <c r="O23" s="649"/>
      <c r="P23" s="650">
        <v>30151</v>
      </c>
      <c r="Q23" s="978"/>
      <c r="R23" s="777">
        <f t="shared" ref="R23" si="6">P23*12+Q23</f>
        <v>361812</v>
      </c>
    </row>
    <row r="24" spans="1:20" s="832" customFormat="1" ht="18.75" customHeight="1" thickBot="1">
      <c r="A24" s="831"/>
      <c r="B24" s="831"/>
      <c r="C24" s="831"/>
      <c r="D24" s="1017">
        <f>SUM(D17:D22)+D23</f>
        <v>6</v>
      </c>
      <c r="E24" s="1017">
        <f t="shared" ref="E24:R24" si="7">SUM(E17:E22)+E23</f>
        <v>40150</v>
      </c>
      <c r="F24" s="1017">
        <f t="shared" si="7"/>
        <v>40150</v>
      </c>
      <c r="G24" s="1017">
        <f t="shared" si="7"/>
        <v>4</v>
      </c>
      <c r="H24" s="1017">
        <f t="shared" si="7"/>
        <v>27228.800000000003</v>
      </c>
      <c r="I24" s="1017">
        <f t="shared" si="7"/>
        <v>1.2</v>
      </c>
      <c r="J24" s="1017">
        <f t="shared" si="7"/>
        <v>7904.2</v>
      </c>
      <c r="K24" s="1017">
        <f t="shared" si="7"/>
        <v>13.8</v>
      </c>
      <c r="L24" s="1017">
        <f t="shared" si="7"/>
        <v>92470.799999999988</v>
      </c>
      <c r="M24" s="1017">
        <f t="shared" si="7"/>
        <v>1.65</v>
      </c>
      <c r="N24" s="1017">
        <f t="shared" si="7"/>
        <v>10678.599999999999</v>
      </c>
      <c r="O24" s="1017">
        <f t="shared" si="7"/>
        <v>107059.44</v>
      </c>
      <c r="P24" s="1018">
        <f t="shared" si="7"/>
        <v>315642.83999999997</v>
      </c>
      <c r="Q24" s="1018">
        <f t="shared" si="7"/>
        <v>224840</v>
      </c>
      <c r="R24" s="1018">
        <f t="shared" si="7"/>
        <v>4021539.3600000003</v>
      </c>
    </row>
    <row r="25" spans="1:20">
      <c r="M25" s="750"/>
      <c r="N25" s="750"/>
      <c r="O25" s="751"/>
    </row>
    <row r="26" spans="1:20">
      <c r="M26" s="750"/>
      <c r="N26" s="750"/>
      <c r="O26" s="750"/>
      <c r="P26" s="657"/>
      <c r="R26" s="657"/>
    </row>
    <row r="27" spans="1:20">
      <c r="M27" s="750"/>
      <c r="N27" s="750"/>
      <c r="O27" s="751"/>
      <c r="P27" s="767"/>
      <c r="R27" s="767"/>
    </row>
    <row r="28" spans="1:20" ht="14.25">
      <c r="A28" s="589" t="s">
        <v>385</v>
      </c>
      <c r="D28" s="752"/>
      <c r="E28" s="1457" t="s">
        <v>386</v>
      </c>
      <c r="F28" s="1488"/>
      <c r="N28" s="767"/>
      <c r="R28" s="753"/>
    </row>
    <row r="29" spans="1:20">
      <c r="I29" s="657"/>
      <c r="P29" s="753"/>
      <c r="Q29" s="754"/>
    </row>
    <row r="30" spans="1:20" ht="17.25" customHeight="1">
      <c r="A30" s="589" t="s">
        <v>104</v>
      </c>
      <c r="E30" s="1440" t="s">
        <v>189</v>
      </c>
      <c r="F30" s="1498"/>
      <c r="R30" s="767"/>
    </row>
    <row r="32" spans="1:20" s="757" customFormat="1" ht="121.5" customHeight="1">
      <c r="A32" s="1012" t="s">
        <v>270</v>
      </c>
      <c r="B32" s="755" t="s">
        <v>271</v>
      </c>
      <c r="C32" s="755" t="s">
        <v>272</v>
      </c>
      <c r="D32" s="755" t="s">
        <v>273</v>
      </c>
      <c r="E32" s="756" t="s">
        <v>203</v>
      </c>
      <c r="F32" s="1013"/>
      <c r="G32" s="1013"/>
      <c r="L32" s="758"/>
      <c r="Q32" s="757" t="s">
        <v>274</v>
      </c>
    </row>
    <row r="33" spans="1:18" s="757" customFormat="1">
      <c r="A33" s="1014">
        <v>57.2</v>
      </c>
      <c r="B33" s="759">
        <v>6589</v>
      </c>
      <c r="C33" s="756">
        <v>6</v>
      </c>
      <c r="D33" s="760">
        <v>1.6</v>
      </c>
      <c r="E33" s="761">
        <f>(A33*B33*C33*D33)</f>
        <v>3618151.6800000006</v>
      </c>
      <c r="F33" s="1028">
        <f>E33*1.1</f>
        <v>3979966.8480000012</v>
      </c>
      <c r="G33" s="1015"/>
      <c r="H33" s="758"/>
    </row>
    <row r="38" spans="1:18">
      <c r="R38" s="657"/>
    </row>
  </sheetData>
  <mergeCells count="18">
    <mergeCell ref="E30:F30"/>
    <mergeCell ref="O14:O15"/>
    <mergeCell ref="P14:P15"/>
    <mergeCell ref="Q14:Q15"/>
    <mergeCell ref="R14:R15"/>
    <mergeCell ref="A17:A22"/>
    <mergeCell ref="E28:F28"/>
    <mergeCell ref="N2:Q2"/>
    <mergeCell ref="C9:F9"/>
    <mergeCell ref="C10:F10"/>
    <mergeCell ref="C11:G11"/>
    <mergeCell ref="A14:B14"/>
    <mergeCell ref="C14:C15"/>
    <mergeCell ref="D14:D15"/>
    <mergeCell ref="E14:E15"/>
    <mergeCell ref="F14:F15"/>
    <mergeCell ref="G14:M14"/>
    <mergeCell ref="M12:N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24"/>
  <sheetViews>
    <sheetView topLeftCell="R10" workbookViewId="0">
      <selection activeCell="AK14" sqref="AK14"/>
    </sheetView>
  </sheetViews>
  <sheetFormatPr defaultRowHeight="12"/>
  <cols>
    <col min="1" max="1" width="15.85546875" style="529" hidden="1" customWidth="1"/>
    <col min="2" max="2" width="16.85546875" style="529" hidden="1" customWidth="1"/>
    <col min="3" max="3" width="12.42578125" style="529" hidden="1" customWidth="1"/>
    <col min="4" max="17" width="9.140625" style="529" hidden="1" customWidth="1"/>
    <col min="18" max="18" width="4.140625" style="529" customWidth="1"/>
    <col min="19" max="19" width="19.140625" style="529" customWidth="1"/>
    <col min="20" max="20" width="7" style="529" customWidth="1"/>
    <col min="21" max="21" width="10.42578125" style="529" bestFit="1" customWidth="1"/>
    <col min="22" max="22" width="10.7109375" style="529" customWidth="1"/>
    <col min="23" max="24" width="10.7109375" style="529" hidden="1" customWidth="1"/>
    <col min="25" max="25" width="8" style="529" hidden="1" customWidth="1"/>
    <col min="26" max="26" width="10.42578125" style="529" hidden="1" customWidth="1"/>
    <col min="27" max="27" width="8.42578125" style="529" customWidth="1"/>
    <col min="28" max="28" width="13.42578125" style="529" customWidth="1"/>
    <col min="29" max="29" width="8.42578125" style="529" hidden="1" customWidth="1"/>
    <col min="30" max="30" width="10.85546875" style="529" hidden="1" customWidth="1"/>
    <col min="31" max="31" width="7.28515625" style="529" hidden="1" customWidth="1"/>
    <col min="32" max="32" width="11.140625" style="529" hidden="1" customWidth="1"/>
    <col min="33" max="33" width="7.42578125" style="529" customWidth="1"/>
    <col min="34" max="34" width="10.140625" style="529" customWidth="1"/>
    <col min="35" max="35" width="6.5703125" style="529" customWidth="1"/>
    <col min="36" max="36" width="10.85546875" style="529" customWidth="1"/>
    <col min="37" max="38" width="12.7109375" style="529" customWidth="1"/>
    <col min="39" max="39" width="14.85546875" style="529" customWidth="1"/>
    <col min="40" max="40" width="10.42578125" style="529" bestFit="1" customWidth="1"/>
    <col min="41" max="16384" width="9.140625" style="529"/>
  </cols>
  <sheetData>
    <row r="1" spans="1:40" ht="30.75" customHeight="1">
      <c r="AH1" s="529" t="s">
        <v>290</v>
      </c>
    </row>
    <row r="2" spans="1:40" ht="62.25" customHeight="1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1521" t="s">
        <v>0</v>
      </c>
      <c r="AI2" s="1521"/>
      <c r="AJ2" s="1522"/>
      <c r="AK2" s="1522"/>
      <c r="AL2" s="531"/>
    </row>
    <row r="4" spans="1:40" ht="12.75">
      <c r="A4" s="530"/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 t="s">
        <v>2</v>
      </c>
      <c r="AG4" s="530"/>
      <c r="AH4" s="524" t="s">
        <v>2</v>
      </c>
      <c r="AI4" s="524"/>
      <c r="AJ4" s="525" t="s">
        <v>1</v>
      </c>
      <c r="AK4" s="532"/>
      <c r="AL4" s="524" t="s">
        <v>275</v>
      </c>
      <c r="AM4" s="526"/>
      <c r="AN4" s="523"/>
    </row>
    <row r="5" spans="1:40" ht="13.5" thickBot="1">
      <c r="A5" s="530"/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  <c r="AE5" s="530"/>
      <c r="AF5" s="530" t="s">
        <v>4</v>
      </c>
      <c r="AG5" s="530"/>
      <c r="AH5" s="524" t="s">
        <v>4</v>
      </c>
      <c r="AI5" s="524"/>
      <c r="AJ5" s="525" t="s">
        <v>227</v>
      </c>
      <c r="AK5" s="532"/>
      <c r="AL5" s="524" t="s">
        <v>228</v>
      </c>
      <c r="AM5" s="526"/>
      <c r="AN5" s="523"/>
    </row>
    <row r="6" spans="1:40" ht="13.5" thickBot="1">
      <c r="A6" s="530"/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0"/>
      <c r="AH6" s="532"/>
      <c r="AI6" s="532"/>
      <c r="AJ6" s="532"/>
      <c r="AK6" s="532"/>
      <c r="AL6" s="524" t="s">
        <v>230</v>
      </c>
      <c r="AM6" s="526"/>
      <c r="AN6" s="527">
        <f>T18</f>
        <v>0.62</v>
      </c>
    </row>
    <row r="7" spans="1:40" ht="37.5" thickBot="1">
      <c r="U7" s="1535" t="s">
        <v>222</v>
      </c>
      <c r="V7" s="1535"/>
      <c r="W7" s="1535"/>
      <c r="X7" s="1535"/>
      <c r="Y7" s="1535"/>
      <c r="Z7" s="1536"/>
      <c r="AA7" s="1536"/>
      <c r="AB7" s="1536"/>
      <c r="AI7" s="533" t="s">
        <v>223</v>
      </c>
      <c r="AJ7" s="533" t="s">
        <v>224</v>
      </c>
      <c r="AL7" s="1500" t="s">
        <v>231</v>
      </c>
      <c r="AM7" s="1501"/>
      <c r="AN7" s="527">
        <f>AK18</f>
        <v>12690.155999999999</v>
      </c>
    </row>
    <row r="8" spans="1:40" ht="15">
      <c r="A8" s="530"/>
      <c r="B8" s="530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4"/>
      <c r="T8" s="535"/>
      <c r="U8" s="1502" t="s">
        <v>276</v>
      </c>
      <c r="V8" s="1503"/>
      <c r="W8" s="1503"/>
      <c r="X8" s="1503"/>
      <c r="Y8" s="1503"/>
      <c r="Z8" s="1503"/>
      <c r="AA8" s="1503"/>
      <c r="AB8" s="1503"/>
      <c r="AC8" s="535"/>
      <c r="AD8" s="535"/>
      <c r="AE8" s="535"/>
      <c r="AF8" s="535"/>
      <c r="AG8" s="535"/>
      <c r="AH8" s="535"/>
      <c r="AI8" s="536">
        <v>1</v>
      </c>
      <c r="AJ8" s="537" t="s">
        <v>289</v>
      </c>
      <c r="AK8" s="535"/>
      <c r="AL8" s="531"/>
    </row>
    <row r="9" spans="1:40" ht="15.75" thickBot="1">
      <c r="U9" s="1504" t="s">
        <v>287</v>
      </c>
      <c r="V9" s="1505"/>
      <c r="W9" s="1505"/>
      <c r="X9" s="1505"/>
      <c r="Y9" s="1505"/>
      <c r="Z9" s="1505"/>
      <c r="AA9" s="1505"/>
      <c r="AB9" s="1505"/>
      <c r="AC9" s="1505"/>
      <c r="AD9" s="1505"/>
      <c r="AE9" s="1505"/>
      <c r="AF9" s="1505"/>
      <c r="AG9" s="1505"/>
    </row>
    <row r="10" spans="1:40" ht="12.75" thickBot="1">
      <c r="A10" s="538" t="s">
        <v>232</v>
      </c>
      <c r="B10" s="539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40"/>
      <c r="R10" s="1506" t="s">
        <v>277</v>
      </c>
      <c r="S10" s="1508" t="s">
        <v>233</v>
      </c>
      <c r="T10" s="1510" t="s">
        <v>234</v>
      </c>
      <c r="U10" s="1510" t="s">
        <v>235</v>
      </c>
      <c r="V10" s="1512" t="s">
        <v>5</v>
      </c>
      <c r="W10" s="1510" t="s">
        <v>24</v>
      </c>
      <c r="X10" s="1534"/>
      <c r="Y10" s="1510" t="s">
        <v>123</v>
      </c>
      <c r="Z10" s="1534"/>
      <c r="AA10" s="1534"/>
      <c r="AB10" s="1534"/>
      <c r="AC10" s="1534"/>
      <c r="AD10" s="1534"/>
      <c r="AE10" s="1534"/>
      <c r="AF10" s="1534"/>
      <c r="AG10" s="1512" t="s">
        <v>7</v>
      </c>
      <c r="AH10" s="1514"/>
      <c r="AI10" s="1514"/>
      <c r="AJ10" s="1514"/>
      <c r="AK10" s="1515" t="s">
        <v>236</v>
      </c>
      <c r="AL10" s="1517" t="s">
        <v>278</v>
      </c>
      <c r="AM10" s="1519" t="s">
        <v>196</v>
      </c>
    </row>
    <row r="11" spans="1:40" ht="96.75" thickBot="1">
      <c r="A11" s="1523" t="s">
        <v>237</v>
      </c>
      <c r="B11" s="1524"/>
      <c r="C11" s="1524"/>
      <c r="D11" s="1524"/>
      <c r="E11" s="1524"/>
      <c r="F11" s="1524"/>
      <c r="G11" s="1524"/>
      <c r="H11" s="1524"/>
      <c r="I11" s="1524"/>
      <c r="J11" s="1524"/>
      <c r="K11" s="1524"/>
      <c r="L11" s="1524"/>
      <c r="M11" s="1524"/>
      <c r="N11" s="1524"/>
      <c r="O11" s="1524"/>
      <c r="P11" s="1524"/>
      <c r="Q11" s="1525"/>
      <c r="R11" s="1507"/>
      <c r="S11" s="1509"/>
      <c r="T11" s="1511"/>
      <c r="U11" s="1511"/>
      <c r="V11" s="1513"/>
      <c r="W11" s="541" t="s">
        <v>238</v>
      </c>
      <c r="X11" s="542" t="s">
        <v>239</v>
      </c>
      <c r="Y11" s="542" t="s">
        <v>238</v>
      </c>
      <c r="Z11" s="542" t="s">
        <v>240</v>
      </c>
      <c r="AA11" s="542" t="s">
        <v>238</v>
      </c>
      <c r="AB11" s="542" t="s">
        <v>279</v>
      </c>
      <c r="AC11" s="542" t="s">
        <v>238</v>
      </c>
      <c r="AD11" s="542" t="s">
        <v>241</v>
      </c>
      <c r="AE11" s="542" t="s">
        <v>238</v>
      </c>
      <c r="AF11" s="542" t="s">
        <v>242</v>
      </c>
      <c r="AG11" s="542" t="s">
        <v>238</v>
      </c>
      <c r="AH11" s="542" t="s">
        <v>280</v>
      </c>
      <c r="AI11" s="542" t="s">
        <v>238</v>
      </c>
      <c r="AJ11" s="543" t="s">
        <v>281</v>
      </c>
      <c r="AK11" s="1516"/>
      <c r="AL11" s="1518"/>
      <c r="AM11" s="1520"/>
    </row>
    <row r="12" spans="1:40" s="535" customFormat="1" ht="12.75" thickBot="1">
      <c r="A12" s="1526">
        <v>1</v>
      </c>
      <c r="B12" s="1527"/>
      <c r="C12" s="1527"/>
      <c r="D12" s="1527"/>
      <c r="E12" s="1527"/>
      <c r="F12" s="1527"/>
      <c r="G12" s="1527"/>
      <c r="H12" s="1527"/>
      <c r="I12" s="1527"/>
      <c r="J12" s="1527"/>
      <c r="K12" s="1527"/>
      <c r="L12" s="1527"/>
      <c r="M12" s="1527"/>
      <c r="N12" s="1527"/>
      <c r="O12" s="1527"/>
      <c r="P12" s="1527"/>
      <c r="Q12" s="1528"/>
      <c r="R12" s="544">
        <v>1</v>
      </c>
      <c r="S12" s="545">
        <v>2</v>
      </c>
      <c r="T12" s="546">
        <v>3</v>
      </c>
      <c r="U12" s="546">
        <v>4</v>
      </c>
      <c r="V12" s="546">
        <v>5</v>
      </c>
      <c r="W12" s="546">
        <v>6</v>
      </c>
      <c r="X12" s="546">
        <v>7</v>
      </c>
      <c r="Y12" s="546">
        <v>6</v>
      </c>
      <c r="Z12" s="546">
        <v>7</v>
      </c>
      <c r="AA12" s="546">
        <v>8</v>
      </c>
      <c r="AB12" s="546">
        <v>9</v>
      </c>
      <c r="AC12" s="546">
        <v>10</v>
      </c>
      <c r="AD12" s="546">
        <v>11</v>
      </c>
      <c r="AE12" s="546">
        <v>12</v>
      </c>
      <c r="AF12" s="546">
        <v>13</v>
      </c>
      <c r="AG12" s="546">
        <v>14</v>
      </c>
      <c r="AH12" s="546">
        <v>15</v>
      </c>
      <c r="AI12" s="546">
        <v>16</v>
      </c>
      <c r="AJ12" s="546">
        <v>17</v>
      </c>
      <c r="AK12" s="546">
        <v>18</v>
      </c>
      <c r="AL12" s="547">
        <v>19</v>
      </c>
      <c r="AM12" s="548">
        <v>20</v>
      </c>
    </row>
    <row r="13" spans="1:40" hidden="1">
      <c r="A13" s="1529" t="s">
        <v>244</v>
      </c>
      <c r="B13" s="1530"/>
      <c r="C13" s="1530"/>
      <c r="D13" s="1530"/>
      <c r="E13" s="1530"/>
      <c r="F13" s="1530"/>
      <c r="G13" s="1530"/>
      <c r="H13" s="1530"/>
      <c r="I13" s="1530"/>
      <c r="J13" s="1530"/>
      <c r="K13" s="1530"/>
      <c r="L13" s="1530"/>
      <c r="M13" s="1530"/>
      <c r="N13" s="1530"/>
      <c r="O13" s="1530"/>
      <c r="P13" s="1530"/>
      <c r="Q13" s="1530"/>
      <c r="R13" s="549" t="s">
        <v>282</v>
      </c>
      <c r="S13" s="550"/>
      <c r="T13" s="551"/>
      <c r="U13" s="552"/>
      <c r="V13" s="553"/>
      <c r="W13" s="554"/>
      <c r="X13" s="555">
        <f>V13*W13</f>
        <v>0</v>
      </c>
      <c r="Y13" s="554">
        <v>0.5</v>
      </c>
      <c r="Z13" s="555">
        <f>V13*Y13</f>
        <v>0</v>
      </c>
      <c r="AA13" s="554">
        <v>1</v>
      </c>
      <c r="AB13" s="556">
        <f>V13*AA13</f>
        <v>0</v>
      </c>
      <c r="AC13" s="557">
        <v>0.25</v>
      </c>
      <c r="AD13" s="558">
        <f>V13*AC13</f>
        <v>0</v>
      </c>
      <c r="AE13" s="554">
        <v>0.7</v>
      </c>
      <c r="AF13" s="555">
        <f>V13*AE13</f>
        <v>0</v>
      </c>
      <c r="AG13" s="554">
        <v>0.3</v>
      </c>
      <c r="AH13" s="556">
        <f>(V13+X13+Z13+AB13+AD13+AF13)*30%</f>
        <v>0</v>
      </c>
      <c r="AI13" s="554">
        <v>0.3</v>
      </c>
      <c r="AJ13" s="556">
        <f>(V13+Z13+AB13+AD13+AF13)*30%</f>
        <v>0</v>
      </c>
      <c r="AK13" s="559">
        <f>AJ13+AH13+AF13+Z13+X13+V13+AD13+AB13</f>
        <v>0</v>
      </c>
      <c r="AL13" s="560">
        <f>U13*2*1.6</f>
        <v>0</v>
      </c>
      <c r="AM13" s="561">
        <f>AK13*7+AL13</f>
        <v>0</v>
      </c>
    </row>
    <row r="14" spans="1:40" ht="24.75" thickBot="1">
      <c r="A14" s="1531"/>
      <c r="B14" s="1532"/>
      <c r="C14" s="1532"/>
      <c r="D14" s="1532"/>
      <c r="E14" s="1532"/>
      <c r="F14" s="1532"/>
      <c r="G14" s="1532"/>
      <c r="H14" s="1532"/>
      <c r="I14" s="1532"/>
      <c r="J14" s="1532"/>
      <c r="K14" s="1532"/>
      <c r="L14" s="1532"/>
      <c r="M14" s="1532"/>
      <c r="N14" s="1532"/>
      <c r="O14" s="1532"/>
      <c r="P14" s="1532"/>
      <c r="Q14" s="1533"/>
      <c r="R14" s="549" t="s">
        <v>282</v>
      </c>
      <c r="S14" s="562" t="s">
        <v>85</v>
      </c>
      <c r="T14" s="563">
        <v>0.62</v>
      </c>
      <c r="U14" s="564">
        <v>3016</v>
      </c>
      <c r="V14" s="565">
        <f t="shared" ref="V14" si="0">T14*U14</f>
        <v>1869.92</v>
      </c>
      <c r="W14" s="557"/>
      <c r="X14" s="558">
        <f>V14*W14</f>
        <v>0</v>
      </c>
      <c r="Y14" s="557"/>
      <c r="Z14" s="558">
        <f>V14*Y14</f>
        <v>0</v>
      </c>
      <c r="AA14" s="566">
        <v>0.75</v>
      </c>
      <c r="AB14" s="556">
        <f>V14*AA14</f>
        <v>1402.44</v>
      </c>
      <c r="AC14" s="557"/>
      <c r="AD14" s="558">
        <f>V14*AC14</f>
        <v>0</v>
      </c>
      <c r="AE14" s="557"/>
      <c r="AF14" s="558">
        <f>V14*AE14</f>
        <v>0</v>
      </c>
      <c r="AG14" s="557">
        <v>0.3</v>
      </c>
      <c r="AH14" s="556">
        <f>(V14+X14+Z14+AB14+AD14+AF14)*30%</f>
        <v>981.70799999999997</v>
      </c>
      <c r="AI14" s="557">
        <v>0.3</v>
      </c>
      <c r="AJ14" s="556">
        <f>(V14+Z14+AB14+AD14+AF14)*30%</f>
        <v>981.70799999999997</v>
      </c>
      <c r="AK14" s="559">
        <f>AJ14+AH14+AF14+Z14+X14+V14+AD14+AB14</f>
        <v>5235.7759999999998</v>
      </c>
      <c r="AL14" s="560">
        <f>V14*2*1.6</f>
        <v>5983.7440000000006</v>
      </c>
      <c r="AM14" s="561">
        <f>AK14*12+AL14</f>
        <v>68813.055999999997</v>
      </c>
    </row>
    <row r="15" spans="1:40" ht="36.75" thickBot="1">
      <c r="A15" s="530"/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67"/>
      <c r="S15" s="568" t="s">
        <v>249</v>
      </c>
      <c r="T15" s="569">
        <f>SUM(T13:T14)</f>
        <v>0.62</v>
      </c>
      <c r="U15" s="570">
        <f>SUM(U13:U14)</f>
        <v>3016</v>
      </c>
      <c r="V15" s="571">
        <f>SUM(V13:V14)</f>
        <v>1869.92</v>
      </c>
      <c r="W15" s="569"/>
      <c r="X15" s="569">
        <f>SUM(X13:X14)</f>
        <v>0</v>
      </c>
      <c r="Y15" s="569"/>
      <c r="Z15" s="572">
        <f>SUM(Z13:Z14)</f>
        <v>0</v>
      </c>
      <c r="AA15" s="569"/>
      <c r="AB15" s="569">
        <f>SUM(AB13:AB14)</f>
        <v>1402.44</v>
      </c>
      <c r="AC15" s="569"/>
      <c r="AD15" s="569">
        <f>SUM(AD13:AD14)</f>
        <v>0</v>
      </c>
      <c r="AE15" s="569"/>
      <c r="AF15" s="569">
        <f>SUM(AF13:AF14)</f>
        <v>0</v>
      </c>
      <c r="AG15" s="569"/>
      <c r="AH15" s="569">
        <f>SUM(AH13:AH14)</f>
        <v>981.70799999999997</v>
      </c>
      <c r="AI15" s="569"/>
      <c r="AJ15" s="573">
        <f>SUM(AJ13:AJ14)</f>
        <v>981.70799999999997</v>
      </c>
      <c r="AK15" s="573">
        <f>SUM(AK13:AK14)</f>
        <v>5235.7759999999998</v>
      </c>
      <c r="AL15" s="573">
        <f t="shared" ref="AL15" si="1">SUM(AL13:AL14)</f>
        <v>5983.7440000000006</v>
      </c>
      <c r="AM15" s="573">
        <f>SUM(AM13:AM14)</f>
        <v>68813.055999999997</v>
      </c>
    </row>
    <row r="16" spans="1:40" ht="41.25" customHeight="1">
      <c r="R16" s="574"/>
      <c r="S16" s="575" t="s">
        <v>288</v>
      </c>
      <c r="T16" s="576"/>
      <c r="U16" s="576"/>
      <c r="V16" s="577"/>
      <c r="W16" s="577"/>
      <c r="X16" s="577"/>
      <c r="Y16" s="577"/>
      <c r="Z16" s="577"/>
      <c r="AA16" s="577"/>
      <c r="AB16" s="577"/>
      <c r="AC16" s="577"/>
      <c r="AD16" s="577"/>
      <c r="AE16" s="577"/>
      <c r="AF16" s="577"/>
      <c r="AG16" s="577"/>
      <c r="AH16" s="577"/>
      <c r="AI16" s="577"/>
      <c r="AJ16" s="577"/>
      <c r="AK16" s="578"/>
      <c r="AL16" s="578"/>
      <c r="AM16" s="578">
        <v>12690.16</v>
      </c>
    </row>
    <row r="17" spans="18:39" ht="36.75" thickBot="1">
      <c r="R17" s="579"/>
      <c r="S17" s="580" t="s">
        <v>283</v>
      </c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1"/>
      <c r="AF17" s="581"/>
      <c r="AG17" s="581"/>
      <c r="AH17" s="581"/>
      <c r="AI17" s="581"/>
      <c r="AJ17" s="581"/>
      <c r="AK17" s="582">
        <v>7454.38</v>
      </c>
      <c r="AL17" s="583"/>
      <c r="AM17" s="578">
        <f>AK17*12</f>
        <v>89452.56</v>
      </c>
    </row>
    <row r="18" spans="18:39" ht="12.75" thickBot="1">
      <c r="R18" s="584"/>
      <c r="S18" s="585" t="s">
        <v>284</v>
      </c>
      <c r="T18" s="586">
        <f>T15+T16+T17</f>
        <v>0.62</v>
      </c>
      <c r="U18" s="586"/>
      <c r="V18" s="587">
        <f>V15+V16+V17</f>
        <v>1869.92</v>
      </c>
      <c r="W18" s="587"/>
      <c r="X18" s="587">
        <f>X15+X16</f>
        <v>0</v>
      </c>
      <c r="Y18" s="587"/>
      <c r="Z18" s="587">
        <f>Z15+Z16+Z17</f>
        <v>0</v>
      </c>
      <c r="AA18" s="587"/>
      <c r="AB18" s="587">
        <f>AB15+AB16+AB17</f>
        <v>1402.44</v>
      </c>
      <c r="AC18" s="587"/>
      <c r="AD18" s="587">
        <f>AD15+AD16+AD17</f>
        <v>0</v>
      </c>
      <c r="AE18" s="587"/>
      <c r="AF18" s="587">
        <f>AF15+AF16+AF17</f>
        <v>0</v>
      </c>
      <c r="AG18" s="587"/>
      <c r="AH18" s="587">
        <f>AH15+AH16+AH17</f>
        <v>981.70799999999997</v>
      </c>
      <c r="AI18" s="587"/>
      <c r="AJ18" s="587">
        <f>AJ15+AJ16+AJ17</f>
        <v>981.70799999999997</v>
      </c>
      <c r="AK18" s="587">
        <f t="shared" ref="AK18" si="2">AK15+AK16+AK17</f>
        <v>12690.155999999999</v>
      </c>
      <c r="AL18" s="587"/>
      <c r="AM18" s="587">
        <f>AM15+AM16+AM17</f>
        <v>170955.77600000001</v>
      </c>
    </row>
    <row r="19" spans="18:39">
      <c r="AK19" s="588"/>
      <c r="AL19" s="588"/>
    </row>
    <row r="20" spans="18:39">
      <c r="S20" s="529" t="s">
        <v>252</v>
      </c>
      <c r="U20" s="529" t="s">
        <v>285</v>
      </c>
      <c r="V20" s="529" t="s">
        <v>254</v>
      </c>
      <c r="AK20" s="588"/>
    </row>
    <row r="21" spans="18:39">
      <c r="AK21" s="588"/>
      <c r="AL21" s="588"/>
    </row>
    <row r="22" spans="18:39">
      <c r="S22" s="529" t="s">
        <v>104</v>
      </c>
      <c r="U22" s="529" t="s">
        <v>286</v>
      </c>
      <c r="AK22" s="588"/>
      <c r="AL22" s="2"/>
    </row>
    <row r="23" spans="18:39">
      <c r="AF23" s="588"/>
      <c r="AK23" s="588"/>
    </row>
    <row r="24" spans="18:39">
      <c r="AK24" s="588"/>
    </row>
  </sheetData>
  <mergeCells count="19">
    <mergeCell ref="AH2:AK2"/>
    <mergeCell ref="A11:Q11"/>
    <mergeCell ref="A12:Q12"/>
    <mergeCell ref="A13:Q14"/>
    <mergeCell ref="W10:X10"/>
    <mergeCell ref="Y10:AF10"/>
    <mergeCell ref="U7:AB7"/>
    <mergeCell ref="AL7:AM7"/>
    <mergeCell ref="U8:AB8"/>
    <mergeCell ref="U9:AG9"/>
    <mergeCell ref="R10:R11"/>
    <mergeCell ref="S10:S11"/>
    <mergeCell ref="T10:T11"/>
    <mergeCell ref="U10:U11"/>
    <mergeCell ref="V10:V11"/>
    <mergeCell ref="AG10:AJ10"/>
    <mergeCell ref="AK10:AK11"/>
    <mergeCell ref="AL10:AL11"/>
    <mergeCell ref="AM10:AM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L42"/>
  <sheetViews>
    <sheetView topLeftCell="R22" zoomScale="90" zoomScaleNormal="90" workbookViewId="0">
      <selection activeCell="AC40" sqref="AC40"/>
    </sheetView>
  </sheetViews>
  <sheetFormatPr defaultRowHeight="12.75"/>
  <cols>
    <col min="1" max="1" width="15.85546875" style="589" hidden="1" customWidth="1"/>
    <col min="2" max="2" width="16.85546875" style="589" hidden="1" customWidth="1"/>
    <col min="3" max="3" width="12.42578125" style="589" hidden="1" customWidth="1"/>
    <col min="4" max="17" width="9.140625" style="589" hidden="1" customWidth="1"/>
    <col min="18" max="18" width="4.140625" style="589" customWidth="1"/>
    <col min="19" max="19" width="22" style="589" customWidth="1"/>
    <col min="20" max="20" width="5.28515625" style="589" customWidth="1"/>
    <col min="21" max="21" width="9.140625" style="589"/>
    <col min="22" max="22" width="12.28515625" style="589" customWidth="1"/>
    <col min="23" max="23" width="7.7109375" style="589" customWidth="1"/>
    <col min="24" max="24" width="12.42578125" style="589" customWidth="1"/>
    <col min="25" max="25" width="7.28515625" style="589" customWidth="1"/>
    <col min="26" max="26" width="13.28515625" style="589" customWidth="1"/>
    <col min="27" max="27" width="8.42578125" style="589" customWidth="1"/>
    <col min="28" max="28" width="12.140625" style="589" customWidth="1"/>
    <col min="29" max="29" width="7.5703125" style="589" customWidth="1"/>
    <col min="30" max="30" width="11" style="589" customWidth="1"/>
    <col min="31" max="31" width="7.140625" style="589" customWidth="1"/>
    <col min="32" max="32" width="11.28515625" style="589" customWidth="1"/>
    <col min="33" max="33" width="13.5703125" style="589" customWidth="1"/>
    <col min="34" max="34" width="17.140625" style="589" customWidth="1"/>
    <col min="35" max="16384" width="9.140625" style="589"/>
  </cols>
  <sheetData>
    <row r="1" spans="1:38">
      <c r="AC1" s="589" t="s">
        <v>330</v>
      </c>
    </row>
    <row r="2" spans="1:38" ht="38.25" customHeight="1">
      <c r="A2" s="590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1439" t="s">
        <v>0</v>
      </c>
      <c r="AE2" s="1439"/>
      <c r="AF2" s="1440"/>
      <c r="AG2" s="1440"/>
    </row>
    <row r="4" spans="1:38">
      <c r="A4" s="590"/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 t="s">
        <v>2</v>
      </c>
      <c r="AC4" s="590"/>
      <c r="AD4" s="591" t="s">
        <v>1</v>
      </c>
      <c r="AE4" s="592"/>
      <c r="AF4" s="590" t="s">
        <v>275</v>
      </c>
      <c r="AG4" s="592"/>
      <c r="AH4" s="529"/>
    </row>
    <row r="5" spans="1:38" ht="21.75" customHeight="1" thickBot="1">
      <c r="A5" s="590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 t="s">
        <v>4</v>
      </c>
      <c r="AC5" s="590"/>
      <c r="AD5" s="591" t="s">
        <v>227</v>
      </c>
      <c r="AE5" s="592"/>
      <c r="AF5" s="590" t="s">
        <v>331</v>
      </c>
      <c r="AG5" s="592"/>
      <c r="AH5" s="529"/>
      <c r="AI5" s="590"/>
      <c r="AJ5" s="590"/>
      <c r="AK5" s="590"/>
      <c r="AL5" s="590"/>
    </row>
    <row r="6" spans="1:38" ht="38.25" customHeight="1" thickBot="1">
      <c r="U6" s="593"/>
      <c r="V6" s="1555" t="s">
        <v>222</v>
      </c>
      <c r="W6" s="1493"/>
      <c r="X6" s="1493"/>
      <c r="Y6" s="1493"/>
      <c r="Z6" s="1493"/>
      <c r="AA6" s="594" t="s">
        <v>223</v>
      </c>
      <c r="AB6" s="594" t="s">
        <v>224</v>
      </c>
      <c r="AC6" s="595"/>
      <c r="AD6" s="595"/>
      <c r="AF6" s="590" t="s">
        <v>230</v>
      </c>
      <c r="AG6" s="592"/>
      <c r="AH6" s="596">
        <f>T31</f>
        <v>17</v>
      </c>
      <c r="AI6" s="590"/>
      <c r="AJ6" s="590"/>
      <c r="AK6" s="590"/>
      <c r="AL6" s="597"/>
    </row>
    <row r="7" spans="1:38" ht="25.5" customHeight="1" thickBot="1">
      <c r="A7" s="590"/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8"/>
      <c r="T7" s="599"/>
      <c r="U7" s="599"/>
      <c r="V7" s="1556" t="s">
        <v>291</v>
      </c>
      <c r="W7" s="1535"/>
      <c r="X7" s="1535"/>
      <c r="Y7" s="1535"/>
      <c r="Z7" s="1535"/>
      <c r="AA7" s="600">
        <v>2</v>
      </c>
      <c r="AB7" s="601">
        <v>44470</v>
      </c>
      <c r="AC7" s="602"/>
      <c r="AD7" s="603"/>
      <c r="AE7" s="604"/>
      <c r="AF7" s="1439" t="s">
        <v>231</v>
      </c>
      <c r="AG7" s="1557"/>
      <c r="AH7" s="605">
        <f>AG31</f>
        <v>523312.32999999996</v>
      </c>
    </row>
    <row r="8" spans="1:38" ht="15.75" thickBot="1">
      <c r="V8" s="1556" t="s">
        <v>326</v>
      </c>
      <c r="W8" s="1535"/>
      <c r="X8" s="1535"/>
      <c r="Y8" s="1535"/>
      <c r="Z8" s="1535"/>
    </row>
    <row r="9" spans="1:38" ht="13.5" thickBot="1">
      <c r="A9" s="606" t="s">
        <v>232</v>
      </c>
      <c r="B9" s="607"/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8"/>
      <c r="R9" s="1554" t="s">
        <v>277</v>
      </c>
      <c r="S9" s="1441" t="s">
        <v>233</v>
      </c>
      <c r="T9" s="1441" t="s">
        <v>234</v>
      </c>
      <c r="U9" s="1441" t="s">
        <v>235</v>
      </c>
      <c r="V9" s="1443" t="s">
        <v>5</v>
      </c>
      <c r="W9" s="1441" t="s">
        <v>24</v>
      </c>
      <c r="X9" s="1550"/>
      <c r="Y9" s="1441" t="s">
        <v>123</v>
      </c>
      <c r="Z9" s="1550"/>
      <c r="AA9" s="1550"/>
      <c r="AB9" s="1550"/>
      <c r="AC9" s="1443" t="s">
        <v>7</v>
      </c>
      <c r="AD9" s="1442"/>
      <c r="AE9" s="1442"/>
      <c r="AF9" s="1442"/>
      <c r="AG9" s="1444" t="s">
        <v>236</v>
      </c>
      <c r="AH9" s="1445" t="s">
        <v>327</v>
      </c>
    </row>
    <row r="10" spans="1:38" ht="39" thickBot="1">
      <c r="A10" s="1551" t="s">
        <v>237</v>
      </c>
      <c r="B10" s="1552"/>
      <c r="C10" s="1552"/>
      <c r="D10" s="1552"/>
      <c r="E10" s="1552"/>
      <c r="F10" s="1552"/>
      <c r="G10" s="1552"/>
      <c r="H10" s="1552"/>
      <c r="I10" s="1552"/>
      <c r="J10" s="1552"/>
      <c r="K10" s="1552"/>
      <c r="L10" s="1552"/>
      <c r="M10" s="1552"/>
      <c r="N10" s="1552"/>
      <c r="O10" s="1552"/>
      <c r="P10" s="1552"/>
      <c r="Q10" s="1553"/>
      <c r="R10" s="1554"/>
      <c r="S10" s="1441"/>
      <c r="T10" s="1441"/>
      <c r="U10" s="1441"/>
      <c r="V10" s="1443"/>
      <c r="W10" s="609" t="s">
        <v>238</v>
      </c>
      <c r="X10" s="610" t="s">
        <v>292</v>
      </c>
      <c r="Y10" s="610" t="s">
        <v>238</v>
      </c>
      <c r="Z10" s="610" t="s">
        <v>293</v>
      </c>
      <c r="AA10" s="610" t="s">
        <v>238</v>
      </c>
      <c r="AB10" s="610" t="s">
        <v>294</v>
      </c>
      <c r="AC10" s="610" t="s">
        <v>238</v>
      </c>
      <c r="AD10" s="610" t="s">
        <v>280</v>
      </c>
      <c r="AE10" s="610" t="s">
        <v>238</v>
      </c>
      <c r="AF10" s="611" t="s">
        <v>281</v>
      </c>
      <c r="AG10" s="1499"/>
      <c r="AH10" s="1445"/>
    </row>
    <row r="11" spans="1:38" ht="13.5" thickBot="1">
      <c r="A11" s="1537">
        <v>1</v>
      </c>
      <c r="B11" s="1538"/>
      <c r="C11" s="1538"/>
      <c r="D11" s="1538"/>
      <c r="E11" s="1538"/>
      <c r="F11" s="1538"/>
      <c r="G11" s="1538"/>
      <c r="H11" s="1538"/>
      <c r="I11" s="1538"/>
      <c r="J11" s="1538"/>
      <c r="K11" s="1538"/>
      <c r="L11" s="1538"/>
      <c r="M11" s="1538"/>
      <c r="N11" s="1538"/>
      <c r="O11" s="1538"/>
      <c r="P11" s="1538"/>
      <c r="Q11" s="1539"/>
      <c r="R11" s="612">
        <v>1</v>
      </c>
      <c r="S11" s="613">
        <v>2</v>
      </c>
      <c r="T11" s="613">
        <v>3</v>
      </c>
      <c r="U11" s="613">
        <v>4</v>
      </c>
      <c r="V11" s="613">
        <v>5</v>
      </c>
      <c r="W11" s="613">
        <v>6</v>
      </c>
      <c r="X11" s="613">
        <v>7</v>
      </c>
      <c r="Y11" s="613">
        <v>8</v>
      </c>
      <c r="Z11" s="613">
        <v>9</v>
      </c>
      <c r="AA11" s="613">
        <v>10</v>
      </c>
      <c r="AB11" s="613">
        <v>11</v>
      </c>
      <c r="AC11" s="613">
        <v>12</v>
      </c>
      <c r="AD11" s="613">
        <v>13</v>
      </c>
      <c r="AE11" s="613">
        <v>14</v>
      </c>
      <c r="AF11" s="613">
        <v>15</v>
      </c>
      <c r="AG11" s="613">
        <v>16</v>
      </c>
      <c r="AH11" s="614">
        <v>17</v>
      </c>
    </row>
    <row r="12" spans="1:38" ht="27" customHeight="1">
      <c r="A12" s="1448" t="s">
        <v>244</v>
      </c>
      <c r="B12" s="1449"/>
      <c r="C12" s="1449"/>
      <c r="D12" s="1449"/>
      <c r="E12" s="1449"/>
      <c r="F12" s="1449"/>
      <c r="G12" s="1449"/>
      <c r="H12" s="1449"/>
      <c r="I12" s="1449"/>
      <c r="J12" s="1449"/>
      <c r="K12" s="1449"/>
      <c r="L12" s="1449"/>
      <c r="M12" s="1449"/>
      <c r="N12" s="1449"/>
      <c r="O12" s="1449"/>
      <c r="P12" s="1449"/>
      <c r="Q12" s="1449"/>
      <c r="R12" s="615" t="s">
        <v>282</v>
      </c>
      <c r="S12" s="616" t="s">
        <v>104</v>
      </c>
      <c r="T12" s="617">
        <v>1</v>
      </c>
      <c r="U12" s="618">
        <v>9295</v>
      </c>
      <c r="V12" s="619">
        <f t="shared" ref="V12:V27" si="0">T12*U12</f>
        <v>9295</v>
      </c>
      <c r="W12" s="620">
        <v>0.25</v>
      </c>
      <c r="X12" s="621">
        <f>V12*W12</f>
        <v>2323.75</v>
      </c>
      <c r="Y12" s="620">
        <v>0.95</v>
      </c>
      <c r="Z12" s="621">
        <f>V12*Y12</f>
        <v>8830.25</v>
      </c>
      <c r="AA12" s="620">
        <v>0.15</v>
      </c>
      <c r="AB12" s="621">
        <f>U12*AA12</f>
        <v>1394.25</v>
      </c>
      <c r="AC12" s="620">
        <v>0.3</v>
      </c>
      <c r="AD12" s="622">
        <f>(V12+X12+Z12+AB12)*AC12</f>
        <v>6552.9749999999995</v>
      </c>
      <c r="AE12" s="620">
        <v>0.3</v>
      </c>
      <c r="AF12" s="622">
        <f>(V12+X12+Z12+AB12)*AE12</f>
        <v>6552.9749999999995</v>
      </c>
      <c r="AG12" s="623">
        <f>AF12+AD12+AB12+Z12+X12+V12</f>
        <v>34949.199999999997</v>
      </c>
      <c r="AH12" s="624">
        <f>AG12*3</f>
        <v>104847.59999999999</v>
      </c>
    </row>
    <row r="13" spans="1:38" ht="31.5" customHeight="1">
      <c r="A13" s="1540"/>
      <c r="B13" s="1492"/>
      <c r="C13" s="1492"/>
      <c r="D13" s="1492"/>
      <c r="E13" s="1492"/>
      <c r="F13" s="1492"/>
      <c r="G13" s="1492"/>
      <c r="H13" s="1492"/>
      <c r="I13" s="1492"/>
      <c r="J13" s="1492"/>
      <c r="K13" s="1492"/>
      <c r="L13" s="1492"/>
      <c r="M13" s="1492"/>
      <c r="N13" s="1492"/>
      <c r="O13" s="1492"/>
      <c r="P13" s="1492"/>
      <c r="Q13" s="1541"/>
      <c r="R13" s="615" t="s">
        <v>295</v>
      </c>
      <c r="S13" s="616" t="s">
        <v>296</v>
      </c>
      <c r="T13" s="617">
        <v>2</v>
      </c>
      <c r="U13" s="618">
        <v>7248</v>
      </c>
      <c r="V13" s="619">
        <f t="shared" si="0"/>
        <v>14496</v>
      </c>
      <c r="W13" s="625">
        <v>0.25</v>
      </c>
      <c r="X13" s="621">
        <f>V13*W13</f>
        <v>3624</v>
      </c>
      <c r="Y13" s="625">
        <v>0.9</v>
      </c>
      <c r="Z13" s="621">
        <f>V13*Y13</f>
        <v>13046.4</v>
      </c>
      <c r="AA13" s="625">
        <v>0.3</v>
      </c>
      <c r="AB13" s="621">
        <f>V13*AA13</f>
        <v>4348.8</v>
      </c>
      <c r="AC13" s="625">
        <v>0.3</v>
      </c>
      <c r="AD13" s="622">
        <f>(V13+X13+Z13+AB13)*AC13</f>
        <v>10654.560000000001</v>
      </c>
      <c r="AE13" s="625">
        <v>0.3</v>
      </c>
      <c r="AF13" s="622">
        <f t="shared" ref="AF13:AF27" si="1">(V13+X13+Z13+AB13)*AE13</f>
        <v>10654.560000000001</v>
      </c>
      <c r="AG13" s="623">
        <f t="shared" ref="AG13:AG27" si="2">AF13+AD13+AB13+Z13+X13+V13</f>
        <v>56824.32</v>
      </c>
      <c r="AH13" s="624">
        <f t="shared" ref="AH13:AH27" si="3">AG13*3</f>
        <v>170472.95999999999</v>
      </c>
    </row>
    <row r="14" spans="1:38" ht="24.75" customHeight="1">
      <c r="A14" s="1540"/>
      <c r="B14" s="1492"/>
      <c r="C14" s="1492"/>
      <c r="D14" s="1492"/>
      <c r="E14" s="1492"/>
      <c r="F14" s="1492"/>
      <c r="G14" s="1492"/>
      <c r="H14" s="1492"/>
      <c r="I14" s="1492"/>
      <c r="J14" s="1492"/>
      <c r="K14" s="1492"/>
      <c r="L14" s="1492"/>
      <c r="M14" s="1492"/>
      <c r="N14" s="1492"/>
      <c r="O14" s="1492"/>
      <c r="P14" s="1492"/>
      <c r="Q14" s="1541"/>
      <c r="R14" s="615" t="s">
        <v>297</v>
      </c>
      <c r="S14" s="616" t="s">
        <v>328</v>
      </c>
      <c r="T14" s="617">
        <v>1</v>
      </c>
      <c r="U14" s="618">
        <v>4704</v>
      </c>
      <c r="V14" s="619">
        <f t="shared" si="0"/>
        <v>4704</v>
      </c>
      <c r="W14" s="625">
        <v>0.25</v>
      </c>
      <c r="X14" s="621">
        <f t="shared" ref="X14:X27" si="4">V14*W14</f>
        <v>1176</v>
      </c>
      <c r="Y14" s="625">
        <v>0.85</v>
      </c>
      <c r="Z14" s="621">
        <f t="shared" ref="Z14:Z27" si="5">V14*Y14</f>
        <v>3998.4</v>
      </c>
      <c r="AA14" s="625">
        <v>0.2</v>
      </c>
      <c r="AB14" s="621">
        <f t="shared" ref="AB14:AB27" si="6">V14*AA14</f>
        <v>940.80000000000007</v>
      </c>
      <c r="AC14" s="625">
        <v>0.3</v>
      </c>
      <c r="AD14" s="622">
        <f t="shared" ref="AD14:AD27" si="7">(V14+X14+Z14+AB14)*AC14</f>
        <v>3245.7599999999998</v>
      </c>
      <c r="AE14" s="625">
        <v>0.3</v>
      </c>
      <c r="AF14" s="622">
        <f t="shared" si="1"/>
        <v>3245.7599999999998</v>
      </c>
      <c r="AG14" s="623">
        <f t="shared" si="2"/>
        <v>17310.72</v>
      </c>
      <c r="AH14" s="624">
        <f t="shared" si="3"/>
        <v>51932.160000000003</v>
      </c>
    </row>
    <row r="15" spans="1:38" ht="32.25" customHeight="1">
      <c r="A15" s="1540"/>
      <c r="B15" s="1492"/>
      <c r="C15" s="1492"/>
      <c r="D15" s="1492"/>
      <c r="E15" s="1492"/>
      <c r="F15" s="1492"/>
      <c r="G15" s="1492"/>
      <c r="H15" s="1492"/>
      <c r="I15" s="1492"/>
      <c r="J15" s="1492"/>
      <c r="K15" s="1492"/>
      <c r="L15" s="1492"/>
      <c r="M15" s="1492"/>
      <c r="N15" s="1492"/>
      <c r="O15" s="1492"/>
      <c r="P15" s="1492"/>
      <c r="Q15" s="1541"/>
      <c r="R15" s="615" t="s">
        <v>298</v>
      </c>
      <c r="S15" s="616" t="s">
        <v>299</v>
      </c>
      <c r="T15" s="617">
        <v>1</v>
      </c>
      <c r="U15" s="618">
        <v>6208</v>
      </c>
      <c r="V15" s="619">
        <f t="shared" si="0"/>
        <v>6208</v>
      </c>
      <c r="W15" s="625">
        <v>0.25</v>
      </c>
      <c r="X15" s="621">
        <f t="shared" si="4"/>
        <v>1552</v>
      </c>
      <c r="Y15" s="625">
        <v>0.9</v>
      </c>
      <c r="Z15" s="621">
        <f t="shared" si="5"/>
        <v>5587.2</v>
      </c>
      <c r="AA15" s="625">
        <v>0.3</v>
      </c>
      <c r="AB15" s="621">
        <f t="shared" si="6"/>
        <v>1862.3999999999999</v>
      </c>
      <c r="AC15" s="625">
        <v>0.3</v>
      </c>
      <c r="AD15" s="622">
        <f t="shared" si="7"/>
        <v>4562.88</v>
      </c>
      <c r="AE15" s="625">
        <v>0.3</v>
      </c>
      <c r="AF15" s="622">
        <f t="shared" si="1"/>
        <v>4562.88</v>
      </c>
      <c r="AG15" s="623">
        <f t="shared" si="2"/>
        <v>24335.360000000001</v>
      </c>
      <c r="AH15" s="624">
        <f t="shared" si="3"/>
        <v>73006.080000000002</v>
      </c>
    </row>
    <row r="16" spans="1:38" ht="46.5" customHeight="1">
      <c r="A16" s="1540"/>
      <c r="B16" s="1492"/>
      <c r="C16" s="1492"/>
      <c r="D16" s="1492"/>
      <c r="E16" s="1492"/>
      <c r="F16" s="1492"/>
      <c r="G16" s="1492"/>
      <c r="H16" s="1492"/>
      <c r="I16" s="1492"/>
      <c r="J16" s="1492"/>
      <c r="K16" s="1492"/>
      <c r="L16" s="1492"/>
      <c r="M16" s="1492"/>
      <c r="N16" s="1492"/>
      <c r="O16" s="1492"/>
      <c r="P16" s="1492"/>
      <c r="Q16" s="1541"/>
      <c r="R16" s="615" t="s">
        <v>300</v>
      </c>
      <c r="S16" s="616" t="s">
        <v>301</v>
      </c>
      <c r="T16" s="617">
        <v>1</v>
      </c>
      <c r="U16" s="618">
        <v>6208</v>
      </c>
      <c r="V16" s="619">
        <f t="shared" si="0"/>
        <v>6208</v>
      </c>
      <c r="W16" s="625">
        <v>0.25</v>
      </c>
      <c r="X16" s="621">
        <f t="shared" si="4"/>
        <v>1552</v>
      </c>
      <c r="Y16" s="625">
        <v>0.9</v>
      </c>
      <c r="Z16" s="621">
        <f t="shared" si="5"/>
        <v>5587.2</v>
      </c>
      <c r="AA16" s="625">
        <v>0.1</v>
      </c>
      <c r="AB16" s="621">
        <f t="shared" si="6"/>
        <v>620.80000000000007</v>
      </c>
      <c r="AC16" s="625">
        <v>0.3</v>
      </c>
      <c r="AD16" s="622">
        <f t="shared" si="7"/>
        <v>4190.3999999999996</v>
      </c>
      <c r="AE16" s="625">
        <v>0.3</v>
      </c>
      <c r="AF16" s="622">
        <f t="shared" si="1"/>
        <v>4190.3999999999996</v>
      </c>
      <c r="AG16" s="623">
        <f t="shared" si="2"/>
        <v>22348.799999999999</v>
      </c>
      <c r="AH16" s="624">
        <f t="shared" si="3"/>
        <v>67046.399999999994</v>
      </c>
      <c r="AI16" s="589" t="s">
        <v>128</v>
      </c>
    </row>
    <row r="17" spans="1:34" ht="40.5" customHeight="1">
      <c r="A17" s="1540"/>
      <c r="B17" s="1492"/>
      <c r="C17" s="1492"/>
      <c r="D17" s="1492"/>
      <c r="E17" s="1492"/>
      <c r="F17" s="1492"/>
      <c r="G17" s="1492"/>
      <c r="H17" s="1492"/>
      <c r="I17" s="1492"/>
      <c r="J17" s="1492"/>
      <c r="K17" s="1492"/>
      <c r="L17" s="1492"/>
      <c r="M17" s="1492"/>
      <c r="N17" s="1492"/>
      <c r="O17" s="1492"/>
      <c r="P17" s="1492"/>
      <c r="Q17" s="1541"/>
      <c r="R17" s="615" t="s">
        <v>302</v>
      </c>
      <c r="S17" s="616" t="s">
        <v>303</v>
      </c>
      <c r="T17" s="617">
        <v>1</v>
      </c>
      <c r="U17" s="618">
        <v>6208</v>
      </c>
      <c r="V17" s="619">
        <f t="shared" si="0"/>
        <v>6208</v>
      </c>
      <c r="W17" s="625">
        <v>0.25</v>
      </c>
      <c r="X17" s="621">
        <f t="shared" si="4"/>
        <v>1552</v>
      </c>
      <c r="Y17" s="625">
        <v>0.9</v>
      </c>
      <c r="Z17" s="621">
        <f t="shared" si="5"/>
        <v>5587.2</v>
      </c>
      <c r="AA17" s="625">
        <v>0.15</v>
      </c>
      <c r="AB17" s="621">
        <f t="shared" si="6"/>
        <v>931.19999999999993</v>
      </c>
      <c r="AC17" s="625">
        <v>0.3</v>
      </c>
      <c r="AD17" s="622">
        <f t="shared" si="7"/>
        <v>4283.5200000000004</v>
      </c>
      <c r="AE17" s="625">
        <v>0.3</v>
      </c>
      <c r="AF17" s="622">
        <f t="shared" si="1"/>
        <v>4283.5200000000004</v>
      </c>
      <c r="AG17" s="623">
        <f t="shared" si="2"/>
        <v>22845.440000000002</v>
      </c>
      <c r="AH17" s="624">
        <f t="shared" si="3"/>
        <v>68536.320000000007</v>
      </c>
    </row>
    <row r="18" spans="1:34" ht="38.25" customHeight="1">
      <c r="A18" s="1540"/>
      <c r="B18" s="1492"/>
      <c r="C18" s="1492"/>
      <c r="D18" s="1492"/>
      <c r="E18" s="1492"/>
      <c r="F18" s="1492"/>
      <c r="G18" s="1492"/>
      <c r="H18" s="1492"/>
      <c r="I18" s="1492"/>
      <c r="J18" s="1492"/>
      <c r="K18" s="1492"/>
      <c r="L18" s="1492"/>
      <c r="M18" s="1492"/>
      <c r="N18" s="1492"/>
      <c r="O18" s="1492"/>
      <c r="P18" s="1492"/>
      <c r="Q18" s="1541"/>
      <c r="R18" s="615" t="s">
        <v>304</v>
      </c>
      <c r="S18" s="616" t="s">
        <v>305</v>
      </c>
      <c r="T18" s="617">
        <v>1</v>
      </c>
      <c r="U18" s="618">
        <v>6208</v>
      </c>
      <c r="V18" s="619">
        <f t="shared" si="0"/>
        <v>6208</v>
      </c>
      <c r="W18" s="625">
        <v>0.25</v>
      </c>
      <c r="X18" s="621">
        <f t="shared" si="4"/>
        <v>1552</v>
      </c>
      <c r="Y18" s="625">
        <v>0.9</v>
      </c>
      <c r="Z18" s="621">
        <f t="shared" si="5"/>
        <v>5587.2</v>
      </c>
      <c r="AA18" s="625">
        <v>0.1</v>
      </c>
      <c r="AB18" s="621">
        <f t="shared" si="6"/>
        <v>620.80000000000007</v>
      </c>
      <c r="AC18" s="625">
        <v>0.3</v>
      </c>
      <c r="AD18" s="622">
        <f t="shared" si="7"/>
        <v>4190.3999999999996</v>
      </c>
      <c r="AE18" s="625">
        <v>0.3</v>
      </c>
      <c r="AF18" s="622">
        <f t="shared" si="1"/>
        <v>4190.3999999999996</v>
      </c>
      <c r="AG18" s="623">
        <f t="shared" si="2"/>
        <v>22348.799999999999</v>
      </c>
      <c r="AH18" s="624">
        <f t="shared" si="3"/>
        <v>67046.399999999994</v>
      </c>
    </row>
    <row r="19" spans="1:34" ht="48" customHeight="1">
      <c r="A19" s="1540"/>
      <c r="B19" s="1492"/>
      <c r="C19" s="1492"/>
      <c r="D19" s="1492"/>
      <c r="E19" s="1492"/>
      <c r="F19" s="1492"/>
      <c r="G19" s="1492"/>
      <c r="H19" s="1492"/>
      <c r="I19" s="1492"/>
      <c r="J19" s="1492"/>
      <c r="K19" s="1492"/>
      <c r="L19" s="1492"/>
      <c r="M19" s="1492"/>
      <c r="N19" s="1492"/>
      <c r="O19" s="1492"/>
      <c r="P19" s="1492"/>
      <c r="Q19" s="1541"/>
      <c r="R19" s="615" t="s">
        <v>306</v>
      </c>
      <c r="S19" s="616" t="s">
        <v>307</v>
      </c>
      <c r="T19" s="617">
        <v>1</v>
      </c>
      <c r="U19" s="618">
        <v>6208</v>
      </c>
      <c r="V19" s="619">
        <f t="shared" si="0"/>
        <v>6208</v>
      </c>
      <c r="W19" s="625">
        <v>0.25</v>
      </c>
      <c r="X19" s="621">
        <f t="shared" si="4"/>
        <v>1552</v>
      </c>
      <c r="Y19" s="625">
        <v>0.9</v>
      </c>
      <c r="Z19" s="621">
        <f t="shared" si="5"/>
        <v>5587.2</v>
      </c>
      <c r="AA19" s="625">
        <v>0.1</v>
      </c>
      <c r="AB19" s="621">
        <f t="shared" si="6"/>
        <v>620.80000000000007</v>
      </c>
      <c r="AC19" s="625">
        <v>0.3</v>
      </c>
      <c r="AD19" s="622">
        <f t="shared" si="7"/>
        <v>4190.3999999999996</v>
      </c>
      <c r="AE19" s="625">
        <v>0.3</v>
      </c>
      <c r="AF19" s="622">
        <f t="shared" si="1"/>
        <v>4190.3999999999996</v>
      </c>
      <c r="AG19" s="623">
        <f t="shared" si="2"/>
        <v>22348.799999999999</v>
      </c>
      <c r="AH19" s="624">
        <f t="shared" si="3"/>
        <v>67046.399999999994</v>
      </c>
    </row>
    <row r="20" spans="1:34" ht="38.25">
      <c r="A20" s="1540"/>
      <c r="B20" s="1492"/>
      <c r="C20" s="1492"/>
      <c r="D20" s="1492"/>
      <c r="E20" s="1492"/>
      <c r="F20" s="1492"/>
      <c r="G20" s="1492"/>
      <c r="H20" s="1492"/>
      <c r="I20" s="1492"/>
      <c r="J20" s="1492"/>
      <c r="K20" s="1492"/>
      <c r="L20" s="1492"/>
      <c r="M20" s="1492"/>
      <c r="N20" s="1492"/>
      <c r="O20" s="1492"/>
      <c r="P20" s="1492"/>
      <c r="Q20" s="1541"/>
      <c r="R20" s="615" t="s">
        <v>308</v>
      </c>
      <c r="S20" s="616" t="s">
        <v>309</v>
      </c>
      <c r="T20" s="617">
        <v>1</v>
      </c>
      <c r="U20" s="618">
        <v>6208</v>
      </c>
      <c r="V20" s="619">
        <f t="shared" si="0"/>
        <v>6208</v>
      </c>
      <c r="W20" s="625">
        <v>0.25</v>
      </c>
      <c r="X20" s="621">
        <f t="shared" si="4"/>
        <v>1552</v>
      </c>
      <c r="Y20" s="625">
        <v>0.9</v>
      </c>
      <c r="Z20" s="621">
        <f t="shared" si="5"/>
        <v>5587.2</v>
      </c>
      <c r="AA20" s="625">
        <v>0.2</v>
      </c>
      <c r="AB20" s="621">
        <f t="shared" si="6"/>
        <v>1241.6000000000001</v>
      </c>
      <c r="AC20" s="625">
        <v>0.3</v>
      </c>
      <c r="AD20" s="622">
        <f t="shared" si="7"/>
        <v>4376.6400000000003</v>
      </c>
      <c r="AE20" s="625">
        <v>0.3</v>
      </c>
      <c r="AF20" s="622">
        <f t="shared" si="1"/>
        <v>4376.6400000000003</v>
      </c>
      <c r="AG20" s="623">
        <f t="shared" si="2"/>
        <v>23342.080000000002</v>
      </c>
      <c r="AH20" s="624">
        <f t="shared" si="3"/>
        <v>70026.240000000005</v>
      </c>
    </row>
    <row r="21" spans="1:34" ht="38.25">
      <c r="A21" s="1540"/>
      <c r="B21" s="1492"/>
      <c r="C21" s="1492"/>
      <c r="D21" s="1492"/>
      <c r="E21" s="1492"/>
      <c r="F21" s="1492"/>
      <c r="G21" s="1492"/>
      <c r="H21" s="1492"/>
      <c r="I21" s="1492"/>
      <c r="J21" s="1492"/>
      <c r="K21" s="1492"/>
      <c r="L21" s="1492"/>
      <c r="M21" s="1492"/>
      <c r="N21" s="1492"/>
      <c r="O21" s="1492"/>
      <c r="P21" s="1492"/>
      <c r="Q21" s="1541"/>
      <c r="R21" s="615" t="s">
        <v>310</v>
      </c>
      <c r="S21" s="616" t="s">
        <v>311</v>
      </c>
      <c r="T21" s="617">
        <v>1</v>
      </c>
      <c r="U21" s="618">
        <v>6208</v>
      </c>
      <c r="V21" s="619">
        <f t="shared" si="0"/>
        <v>6208</v>
      </c>
      <c r="W21" s="625">
        <v>0.25</v>
      </c>
      <c r="X21" s="621">
        <f t="shared" si="4"/>
        <v>1552</v>
      </c>
      <c r="Y21" s="625">
        <v>0.9</v>
      </c>
      <c r="Z21" s="621">
        <f t="shared" si="5"/>
        <v>5587.2</v>
      </c>
      <c r="AA21" s="625">
        <v>0.3</v>
      </c>
      <c r="AB21" s="621">
        <f t="shared" si="6"/>
        <v>1862.3999999999999</v>
      </c>
      <c r="AC21" s="625">
        <v>0.3</v>
      </c>
      <c r="AD21" s="622">
        <f t="shared" si="7"/>
        <v>4562.88</v>
      </c>
      <c r="AE21" s="625">
        <v>0.3</v>
      </c>
      <c r="AF21" s="622">
        <f t="shared" si="1"/>
        <v>4562.88</v>
      </c>
      <c r="AG21" s="623">
        <f t="shared" si="2"/>
        <v>24335.360000000001</v>
      </c>
      <c r="AH21" s="624">
        <f t="shared" si="3"/>
        <v>73006.080000000002</v>
      </c>
    </row>
    <row r="22" spans="1:34" ht="38.25">
      <c r="A22" s="1540"/>
      <c r="B22" s="1492"/>
      <c r="C22" s="1492"/>
      <c r="D22" s="1492"/>
      <c r="E22" s="1492"/>
      <c r="F22" s="1492"/>
      <c r="G22" s="1492"/>
      <c r="H22" s="1492"/>
      <c r="I22" s="1492"/>
      <c r="J22" s="1492"/>
      <c r="K22" s="1492"/>
      <c r="L22" s="1492"/>
      <c r="M22" s="1492"/>
      <c r="N22" s="1492"/>
      <c r="O22" s="1492"/>
      <c r="P22" s="1492"/>
      <c r="Q22" s="1541"/>
      <c r="R22" s="626" t="s">
        <v>312</v>
      </c>
      <c r="S22" s="616" t="s">
        <v>313</v>
      </c>
      <c r="T22" s="617">
        <v>1</v>
      </c>
      <c r="U22" s="618">
        <v>6208</v>
      </c>
      <c r="V22" s="619">
        <f t="shared" si="0"/>
        <v>6208</v>
      </c>
      <c r="W22" s="625">
        <v>0.25</v>
      </c>
      <c r="X22" s="621">
        <f t="shared" si="4"/>
        <v>1552</v>
      </c>
      <c r="Y22" s="625">
        <v>0.8</v>
      </c>
      <c r="Z22" s="621">
        <f t="shared" si="5"/>
        <v>4966.4000000000005</v>
      </c>
      <c r="AA22" s="625">
        <v>0.1</v>
      </c>
      <c r="AB22" s="621">
        <f t="shared" si="6"/>
        <v>620.80000000000007</v>
      </c>
      <c r="AC22" s="625">
        <v>0.3</v>
      </c>
      <c r="AD22" s="622">
        <f t="shared" si="7"/>
        <v>4004.16</v>
      </c>
      <c r="AE22" s="625">
        <v>0.3</v>
      </c>
      <c r="AF22" s="622">
        <f t="shared" si="1"/>
        <v>4004.16</v>
      </c>
      <c r="AG22" s="623">
        <f t="shared" si="2"/>
        <v>21355.52</v>
      </c>
      <c r="AH22" s="624">
        <f t="shared" si="3"/>
        <v>64066.559999999998</v>
      </c>
    </row>
    <row r="23" spans="1:34" ht="38.25">
      <c r="A23" s="1540"/>
      <c r="B23" s="1492"/>
      <c r="C23" s="1492"/>
      <c r="D23" s="1492"/>
      <c r="E23" s="1492"/>
      <c r="F23" s="1492"/>
      <c r="G23" s="1492"/>
      <c r="H23" s="1492"/>
      <c r="I23" s="1492"/>
      <c r="J23" s="1492"/>
      <c r="K23" s="1492"/>
      <c r="L23" s="1492"/>
      <c r="M23" s="1492"/>
      <c r="N23" s="1492"/>
      <c r="O23" s="1492"/>
      <c r="P23" s="1492"/>
      <c r="Q23" s="1541"/>
      <c r="R23" s="615" t="s">
        <v>314</v>
      </c>
      <c r="S23" s="616" t="s">
        <v>315</v>
      </c>
      <c r="T23" s="617">
        <v>1</v>
      </c>
      <c r="U23" s="618">
        <v>6208</v>
      </c>
      <c r="V23" s="619">
        <f t="shared" si="0"/>
        <v>6208</v>
      </c>
      <c r="W23" s="625">
        <v>0.25</v>
      </c>
      <c r="X23" s="621">
        <f t="shared" si="4"/>
        <v>1552</v>
      </c>
      <c r="Y23" s="625">
        <v>0.9</v>
      </c>
      <c r="Z23" s="621">
        <f t="shared" si="5"/>
        <v>5587.2</v>
      </c>
      <c r="AA23" s="625">
        <v>0.3</v>
      </c>
      <c r="AB23" s="621">
        <f t="shared" si="6"/>
        <v>1862.3999999999999</v>
      </c>
      <c r="AC23" s="625">
        <v>0.3</v>
      </c>
      <c r="AD23" s="622">
        <f t="shared" si="7"/>
        <v>4562.88</v>
      </c>
      <c r="AE23" s="625">
        <v>0.3</v>
      </c>
      <c r="AF23" s="622">
        <f t="shared" si="1"/>
        <v>4562.88</v>
      </c>
      <c r="AG23" s="623">
        <f t="shared" si="2"/>
        <v>24335.360000000001</v>
      </c>
      <c r="AH23" s="624">
        <f t="shared" si="3"/>
        <v>73006.080000000002</v>
      </c>
    </row>
    <row r="24" spans="1:34" ht="25.5">
      <c r="A24" s="1540"/>
      <c r="B24" s="1492"/>
      <c r="C24" s="1492"/>
      <c r="D24" s="1492"/>
      <c r="E24" s="1492"/>
      <c r="F24" s="1492"/>
      <c r="G24" s="1492"/>
      <c r="H24" s="1492"/>
      <c r="I24" s="1492"/>
      <c r="J24" s="1492"/>
      <c r="K24" s="1492"/>
      <c r="L24" s="1492"/>
      <c r="M24" s="1492"/>
      <c r="N24" s="1492"/>
      <c r="O24" s="1492"/>
      <c r="P24" s="1492"/>
      <c r="Q24" s="1541"/>
      <c r="R24" s="615" t="s">
        <v>316</v>
      </c>
      <c r="S24" s="616" t="s">
        <v>317</v>
      </c>
      <c r="T24" s="617">
        <v>1</v>
      </c>
      <c r="U24" s="618">
        <v>6208</v>
      </c>
      <c r="V24" s="619">
        <f t="shared" si="0"/>
        <v>6208</v>
      </c>
      <c r="W24" s="625">
        <v>0.25</v>
      </c>
      <c r="X24" s="621">
        <f t="shared" si="4"/>
        <v>1552</v>
      </c>
      <c r="Y24" s="625">
        <v>0.9</v>
      </c>
      <c r="Z24" s="621">
        <f t="shared" si="5"/>
        <v>5587.2</v>
      </c>
      <c r="AA24" s="625">
        <v>0.3</v>
      </c>
      <c r="AB24" s="621">
        <f t="shared" si="6"/>
        <v>1862.3999999999999</v>
      </c>
      <c r="AC24" s="625">
        <v>0.3</v>
      </c>
      <c r="AD24" s="622">
        <f t="shared" si="7"/>
        <v>4562.88</v>
      </c>
      <c r="AE24" s="625">
        <v>0.3</v>
      </c>
      <c r="AF24" s="622">
        <f t="shared" si="1"/>
        <v>4562.88</v>
      </c>
      <c r="AG24" s="623">
        <f t="shared" si="2"/>
        <v>24335.360000000001</v>
      </c>
      <c r="AH24" s="624">
        <f t="shared" si="3"/>
        <v>73006.080000000002</v>
      </c>
    </row>
    <row r="25" spans="1:34" s="364" customFormat="1" ht="25.5">
      <c r="A25" s="1540"/>
      <c r="B25" s="1492"/>
      <c r="C25" s="1492"/>
      <c r="D25" s="1492"/>
      <c r="E25" s="1492"/>
      <c r="F25" s="1492"/>
      <c r="G25" s="1492"/>
      <c r="H25" s="1492"/>
      <c r="I25" s="1492"/>
      <c r="J25" s="1492"/>
      <c r="K25" s="1492"/>
      <c r="L25" s="1492"/>
      <c r="M25" s="1492"/>
      <c r="N25" s="1492"/>
      <c r="O25" s="1492"/>
      <c r="P25" s="1492"/>
      <c r="Q25" s="1541"/>
      <c r="R25" s="365" t="s">
        <v>318</v>
      </c>
      <c r="S25" s="627" t="s">
        <v>319</v>
      </c>
      <c r="T25" s="628">
        <v>1</v>
      </c>
      <c r="U25" s="618">
        <v>6208</v>
      </c>
      <c r="V25" s="619">
        <f t="shared" si="0"/>
        <v>6208</v>
      </c>
      <c r="W25" s="629">
        <v>0.25</v>
      </c>
      <c r="X25" s="630">
        <f t="shared" si="4"/>
        <v>1552</v>
      </c>
      <c r="Y25" s="629">
        <v>0.9</v>
      </c>
      <c r="Z25" s="630">
        <f t="shared" si="5"/>
        <v>5587.2</v>
      </c>
      <c r="AA25" s="629">
        <v>0.1</v>
      </c>
      <c r="AB25" s="630">
        <f t="shared" si="6"/>
        <v>620.80000000000007</v>
      </c>
      <c r="AC25" s="629">
        <v>0.3</v>
      </c>
      <c r="AD25" s="631">
        <f t="shared" si="7"/>
        <v>4190.3999999999996</v>
      </c>
      <c r="AE25" s="629">
        <v>0.3</v>
      </c>
      <c r="AF25" s="631">
        <f t="shared" si="1"/>
        <v>4190.3999999999996</v>
      </c>
      <c r="AG25" s="632">
        <f t="shared" si="2"/>
        <v>22348.799999999999</v>
      </c>
      <c r="AH25" s="624">
        <f t="shared" si="3"/>
        <v>67046.399999999994</v>
      </c>
    </row>
    <row r="26" spans="1:34" ht="25.5">
      <c r="A26" s="1540"/>
      <c r="B26" s="1492"/>
      <c r="C26" s="1492"/>
      <c r="D26" s="1492"/>
      <c r="E26" s="1492"/>
      <c r="F26" s="1492"/>
      <c r="G26" s="1492"/>
      <c r="H26" s="1492"/>
      <c r="I26" s="1492"/>
      <c r="J26" s="1492"/>
      <c r="K26" s="1492"/>
      <c r="L26" s="1492"/>
      <c r="M26" s="1492"/>
      <c r="N26" s="1492"/>
      <c r="O26" s="1492"/>
      <c r="P26" s="1492"/>
      <c r="Q26" s="1541"/>
      <c r="R26" s="615" t="s">
        <v>320</v>
      </c>
      <c r="S26" s="616" t="s">
        <v>329</v>
      </c>
      <c r="T26" s="617">
        <v>1</v>
      </c>
      <c r="U26" s="618">
        <v>6208</v>
      </c>
      <c r="V26" s="619">
        <f t="shared" si="0"/>
        <v>6208</v>
      </c>
      <c r="W26" s="625">
        <v>0.25</v>
      </c>
      <c r="X26" s="621">
        <f t="shared" si="4"/>
        <v>1552</v>
      </c>
      <c r="Y26" s="625">
        <v>0.9</v>
      </c>
      <c r="Z26" s="621">
        <f t="shared" si="5"/>
        <v>5587.2</v>
      </c>
      <c r="AA26" s="625"/>
      <c r="AB26" s="621">
        <f t="shared" si="6"/>
        <v>0</v>
      </c>
      <c r="AC26" s="625">
        <v>0.3</v>
      </c>
      <c r="AD26" s="622">
        <f t="shared" si="7"/>
        <v>4004.16</v>
      </c>
      <c r="AE26" s="625">
        <v>0.2</v>
      </c>
      <c r="AF26" s="622">
        <f t="shared" si="1"/>
        <v>2669.4400000000005</v>
      </c>
      <c r="AG26" s="623">
        <f t="shared" si="2"/>
        <v>20020.8</v>
      </c>
      <c r="AH26" s="624">
        <f t="shared" si="3"/>
        <v>60062.399999999994</v>
      </c>
    </row>
    <row r="27" spans="1:34" ht="26.25" thickBot="1">
      <c r="A27" s="1542"/>
      <c r="B27" s="1543"/>
      <c r="C27" s="1543"/>
      <c r="D27" s="1543"/>
      <c r="E27" s="1543"/>
      <c r="F27" s="1543"/>
      <c r="G27" s="1543"/>
      <c r="H27" s="1543"/>
      <c r="I27" s="1543"/>
      <c r="J27" s="1543"/>
      <c r="K27" s="1543"/>
      <c r="L27" s="1543"/>
      <c r="M27" s="1543"/>
      <c r="N27" s="1543"/>
      <c r="O27" s="1543"/>
      <c r="P27" s="1543"/>
      <c r="Q27" s="1543"/>
      <c r="R27" s="615" t="s">
        <v>321</v>
      </c>
      <c r="S27" s="616" t="s">
        <v>257</v>
      </c>
      <c r="T27" s="617">
        <v>1</v>
      </c>
      <c r="U27" s="618">
        <v>5667</v>
      </c>
      <c r="V27" s="619">
        <f t="shared" si="0"/>
        <v>5667</v>
      </c>
      <c r="W27" s="625"/>
      <c r="X27" s="621">
        <f t="shared" si="4"/>
        <v>0</v>
      </c>
      <c r="Y27" s="625">
        <v>0.9</v>
      </c>
      <c r="Z27" s="621">
        <f t="shared" si="5"/>
        <v>5100.3</v>
      </c>
      <c r="AA27" s="625">
        <v>0.1</v>
      </c>
      <c r="AB27" s="621">
        <f t="shared" si="6"/>
        <v>566.70000000000005</v>
      </c>
      <c r="AC27" s="625">
        <v>0.3</v>
      </c>
      <c r="AD27" s="622">
        <f t="shared" si="7"/>
        <v>3400.2</v>
      </c>
      <c r="AE27" s="625">
        <v>0.3</v>
      </c>
      <c r="AF27" s="622">
        <f t="shared" si="1"/>
        <v>3400.2</v>
      </c>
      <c r="AG27" s="623">
        <f t="shared" si="2"/>
        <v>18134.400000000001</v>
      </c>
      <c r="AH27" s="624">
        <f t="shared" si="3"/>
        <v>54403.200000000004</v>
      </c>
    </row>
    <row r="28" spans="1:34" ht="30.75" customHeight="1" thickBot="1">
      <c r="A28" s="1544"/>
      <c r="B28" s="1545"/>
      <c r="C28" s="1545"/>
      <c r="D28" s="1545"/>
      <c r="E28" s="1545"/>
      <c r="F28" s="1545"/>
      <c r="G28" s="1545"/>
      <c r="H28" s="1545"/>
      <c r="I28" s="1545"/>
      <c r="J28" s="1545"/>
      <c r="K28" s="1545"/>
      <c r="L28" s="1545"/>
      <c r="M28" s="1545"/>
      <c r="N28" s="1545"/>
      <c r="O28" s="1545"/>
      <c r="P28" s="1545"/>
      <c r="Q28" s="1546"/>
      <c r="R28" s="633"/>
      <c r="S28" s="634" t="s">
        <v>249</v>
      </c>
      <c r="T28" s="635">
        <f>SUM(T12:T27)</f>
        <v>17</v>
      </c>
      <c r="U28" s="635"/>
      <c r="V28" s="635">
        <f t="shared" ref="V28:AH28" si="8">SUM(V12:V27)</f>
        <v>108658</v>
      </c>
      <c r="W28" s="635">
        <f t="shared" si="8"/>
        <v>3.75</v>
      </c>
      <c r="X28" s="635">
        <f t="shared" si="8"/>
        <v>25747.75</v>
      </c>
      <c r="Y28" s="635">
        <f t="shared" si="8"/>
        <v>14.300000000000004</v>
      </c>
      <c r="Z28" s="635">
        <f t="shared" si="8"/>
        <v>97400.949999999983</v>
      </c>
      <c r="AA28" s="635">
        <f t="shared" si="8"/>
        <v>2.8</v>
      </c>
      <c r="AB28" s="635">
        <f t="shared" si="8"/>
        <v>19976.95</v>
      </c>
      <c r="AC28" s="635">
        <f t="shared" si="8"/>
        <v>4.7999999999999989</v>
      </c>
      <c r="AD28" s="635">
        <f t="shared" si="8"/>
        <v>75535.094999999987</v>
      </c>
      <c r="AE28" s="635"/>
      <c r="AF28" s="635">
        <f t="shared" si="8"/>
        <v>74200.374999999985</v>
      </c>
      <c r="AG28" s="636">
        <f>SUM(AG12:AG27)</f>
        <v>401519.11999999994</v>
      </c>
      <c r="AH28" s="637">
        <f t="shared" si="8"/>
        <v>1204557.3599999996</v>
      </c>
    </row>
    <row r="29" spans="1:34" ht="31.5" customHeight="1" thickBot="1">
      <c r="A29" s="1547"/>
      <c r="B29" s="1548"/>
      <c r="C29" s="1548"/>
      <c r="D29" s="1548"/>
      <c r="E29" s="1548"/>
      <c r="F29" s="1548"/>
      <c r="G29" s="1548"/>
      <c r="H29" s="1548"/>
      <c r="I29" s="1548"/>
      <c r="J29" s="1548"/>
      <c r="K29" s="1548"/>
      <c r="L29" s="1548"/>
      <c r="M29" s="1548"/>
      <c r="N29" s="1548"/>
      <c r="O29" s="1548"/>
      <c r="P29" s="1548"/>
      <c r="Q29" s="1549"/>
      <c r="R29" s="638"/>
      <c r="S29" s="639" t="s">
        <v>56</v>
      </c>
      <c r="T29" s="640"/>
      <c r="U29" s="640"/>
      <c r="V29" s="397">
        <v>0</v>
      </c>
      <c r="W29" s="641"/>
      <c r="X29" s="642">
        <v>0</v>
      </c>
      <c r="Y29" s="641"/>
      <c r="Z29" s="642">
        <v>0</v>
      </c>
      <c r="AA29" s="640"/>
      <c r="AB29" s="642">
        <v>0</v>
      </c>
      <c r="AC29" s="641"/>
      <c r="AD29" s="641"/>
      <c r="AE29" s="641"/>
      <c r="AF29" s="642">
        <v>0</v>
      </c>
      <c r="AG29" s="643">
        <f>53539.21+68254</f>
        <v>121793.20999999999</v>
      </c>
      <c r="AH29" s="624">
        <f>AG29*3</f>
        <v>365379.63</v>
      </c>
    </row>
    <row r="30" spans="1:34" ht="13.5" thickBot="1">
      <c r="A30" s="644"/>
      <c r="B30" s="644"/>
      <c r="C30" s="644"/>
      <c r="D30" s="644"/>
      <c r="E30" s="644"/>
      <c r="F30" s="644"/>
      <c r="G30" s="644"/>
      <c r="H30" s="644"/>
      <c r="I30" s="644"/>
      <c r="J30" s="644"/>
      <c r="K30" s="644"/>
      <c r="L30" s="644"/>
      <c r="M30" s="644"/>
      <c r="N30" s="644"/>
      <c r="O30" s="644"/>
      <c r="P30" s="644"/>
      <c r="Q30" s="644"/>
      <c r="R30" s="645"/>
      <c r="S30" s="616" t="s">
        <v>322</v>
      </c>
      <c r="T30" s="646"/>
      <c r="U30" s="646"/>
      <c r="V30" s="647"/>
      <c r="W30" s="648"/>
      <c r="X30" s="649"/>
      <c r="Y30" s="648"/>
      <c r="Z30" s="649"/>
      <c r="AA30" s="646"/>
      <c r="AB30" s="649"/>
      <c r="AC30" s="648"/>
      <c r="AD30" s="648"/>
      <c r="AE30" s="648"/>
      <c r="AF30" s="649"/>
      <c r="AG30" s="650"/>
      <c r="AH30" s="624">
        <f>AG30*3</f>
        <v>0</v>
      </c>
    </row>
    <row r="31" spans="1:34" ht="13.5" thickBot="1">
      <c r="A31" s="590"/>
      <c r="B31" s="590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651">
        <f t="shared" ref="T31:AF31" si="9">T28+T29</f>
        <v>17</v>
      </c>
      <c r="U31" s="651">
        <f t="shared" si="9"/>
        <v>0</v>
      </c>
      <c r="V31" s="651">
        <f t="shared" si="9"/>
        <v>108658</v>
      </c>
      <c r="W31" s="651">
        <f t="shared" si="9"/>
        <v>3.75</v>
      </c>
      <c r="X31" s="651">
        <f t="shared" si="9"/>
        <v>25747.75</v>
      </c>
      <c r="Y31" s="651">
        <f t="shared" si="9"/>
        <v>14.300000000000004</v>
      </c>
      <c r="Z31" s="651">
        <f t="shared" si="9"/>
        <v>97400.949999999983</v>
      </c>
      <c r="AA31" s="651">
        <f t="shared" si="9"/>
        <v>2.8</v>
      </c>
      <c r="AB31" s="651">
        <f t="shared" si="9"/>
        <v>19976.95</v>
      </c>
      <c r="AC31" s="651">
        <f t="shared" si="9"/>
        <v>4.7999999999999989</v>
      </c>
      <c r="AD31" s="651">
        <f t="shared" si="9"/>
        <v>75535.094999999987</v>
      </c>
      <c r="AE31" s="651">
        <f t="shared" si="9"/>
        <v>0</v>
      </c>
      <c r="AF31" s="651">
        <f t="shared" si="9"/>
        <v>74200.374999999985</v>
      </c>
      <c r="AG31" s="652">
        <f>AG28+AG29+AG30</f>
        <v>523312.32999999996</v>
      </c>
      <c r="AH31" s="653">
        <f>AH28+AH29+AH30</f>
        <v>1569936.9899999998</v>
      </c>
    </row>
    <row r="32" spans="1:34">
      <c r="A32" s="590"/>
      <c r="B32" s="590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654"/>
      <c r="U32" s="654"/>
      <c r="V32" s="654"/>
      <c r="W32" s="654"/>
      <c r="X32" s="654"/>
      <c r="Y32" s="654"/>
      <c r="Z32" s="654"/>
      <c r="AA32" s="654"/>
      <c r="AB32" s="654"/>
      <c r="AC32" s="654"/>
      <c r="AD32" s="654"/>
      <c r="AE32" s="654"/>
      <c r="AF32" s="654"/>
      <c r="AG32" s="655"/>
      <c r="AH32" s="656"/>
    </row>
    <row r="33" spans="19:34">
      <c r="S33" s="589" t="s">
        <v>323</v>
      </c>
      <c r="V33" s="589" t="s">
        <v>324</v>
      </c>
    </row>
    <row r="34" spans="19:34">
      <c r="AG34" s="657"/>
      <c r="AH34" s="657"/>
    </row>
    <row r="35" spans="19:34">
      <c r="S35" s="589" t="s">
        <v>325</v>
      </c>
      <c r="V35" s="589" t="s">
        <v>189</v>
      </c>
      <c r="AG35" s="657"/>
    </row>
    <row r="36" spans="19:34">
      <c r="AG36" s="658"/>
    </row>
    <row r="37" spans="19:34">
      <c r="AG37" s="658"/>
    </row>
    <row r="38" spans="19:34">
      <c r="AH38" s="657"/>
    </row>
    <row r="39" spans="19:34">
      <c r="AG39" s="657"/>
    </row>
    <row r="42" spans="19:34">
      <c r="AG42" s="657"/>
    </row>
  </sheetData>
  <mergeCells count="20">
    <mergeCell ref="AD2:AG2"/>
    <mergeCell ref="V6:Z6"/>
    <mergeCell ref="V7:Z7"/>
    <mergeCell ref="AF7:AG7"/>
    <mergeCell ref="V8:Z8"/>
    <mergeCell ref="Y9:AB9"/>
    <mergeCell ref="AC9:AF9"/>
    <mergeCell ref="AG9:AG10"/>
    <mergeCell ref="AH9:AH10"/>
    <mergeCell ref="A10:Q10"/>
    <mergeCell ref="R9:R10"/>
    <mergeCell ref="S9:S10"/>
    <mergeCell ref="T9:T10"/>
    <mergeCell ref="U9:U10"/>
    <mergeCell ref="V9:V10"/>
    <mergeCell ref="A11:Q11"/>
    <mergeCell ref="A12:Q27"/>
    <mergeCell ref="A28:Q28"/>
    <mergeCell ref="A29:Q29"/>
    <mergeCell ref="W9:X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L42"/>
  <sheetViews>
    <sheetView topLeftCell="R1" workbookViewId="0">
      <pane xSplit="2" ySplit="10" topLeftCell="T11" activePane="bottomRight" state="frozen"/>
      <selection activeCell="R1" sqref="R1"/>
      <selection pane="topRight" activeCell="T1" sqref="T1"/>
      <selection pane="bottomLeft" activeCell="R11" sqref="R11"/>
      <selection pane="bottomRight" activeCell="R1" sqref="A1:XFD1048576"/>
    </sheetView>
  </sheetViews>
  <sheetFormatPr defaultRowHeight="12.75"/>
  <cols>
    <col min="1" max="1" width="15.85546875" style="589" hidden="1" customWidth="1"/>
    <col min="2" max="2" width="16.85546875" style="589" hidden="1" customWidth="1"/>
    <col min="3" max="3" width="12.42578125" style="589" hidden="1" customWidth="1"/>
    <col min="4" max="17" width="9.140625" style="589" hidden="1" customWidth="1"/>
    <col min="18" max="18" width="4.140625" style="589" customWidth="1"/>
    <col min="19" max="19" width="22" style="589" customWidth="1"/>
    <col min="20" max="20" width="5.28515625" style="589" customWidth="1"/>
    <col min="21" max="21" width="9.140625" style="589"/>
    <col min="22" max="22" width="12.28515625" style="589" customWidth="1"/>
    <col min="23" max="23" width="7.7109375" style="589" customWidth="1"/>
    <col min="24" max="24" width="12.42578125" style="589" customWidth="1"/>
    <col min="25" max="25" width="7.28515625" style="589" customWidth="1"/>
    <col min="26" max="26" width="13.28515625" style="589" customWidth="1"/>
    <col min="27" max="27" width="8.42578125" style="589" customWidth="1"/>
    <col min="28" max="28" width="12.140625" style="589" customWidth="1"/>
    <col min="29" max="29" width="7.5703125" style="589" customWidth="1"/>
    <col min="30" max="30" width="11" style="589" customWidth="1"/>
    <col min="31" max="31" width="7.140625" style="589" customWidth="1"/>
    <col min="32" max="32" width="11.28515625" style="589" customWidth="1"/>
    <col min="33" max="33" width="13.5703125" style="589" customWidth="1"/>
    <col min="34" max="34" width="14.85546875" style="589" customWidth="1"/>
    <col min="35" max="35" width="12.85546875" style="589" hidden="1" customWidth="1"/>
    <col min="36" max="16384" width="9.140625" style="589"/>
  </cols>
  <sheetData>
    <row r="1" spans="1:38">
      <c r="AC1" s="589" t="s">
        <v>390</v>
      </c>
    </row>
    <row r="2" spans="1:38" ht="38.25" customHeight="1">
      <c r="A2" s="590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1439" t="s">
        <v>0</v>
      </c>
      <c r="AE2" s="1439"/>
      <c r="AF2" s="1440"/>
      <c r="AG2" s="1440"/>
    </row>
    <row r="4" spans="1:38">
      <c r="A4" s="590"/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 t="s">
        <v>2</v>
      </c>
      <c r="AC4" s="590"/>
      <c r="AD4" s="591" t="s">
        <v>1</v>
      </c>
      <c r="AE4" s="592"/>
      <c r="AF4" s="590" t="s">
        <v>275</v>
      </c>
      <c r="AG4" s="592"/>
      <c r="AH4" s="529"/>
    </row>
    <row r="5" spans="1:38" ht="21.75" customHeight="1" thickBot="1">
      <c r="A5" s="590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 t="s">
        <v>4</v>
      </c>
      <c r="AC5" s="590"/>
      <c r="AD5" s="591" t="s">
        <v>227</v>
      </c>
      <c r="AE5" s="592"/>
      <c r="AF5" s="590" t="s">
        <v>387</v>
      </c>
      <c r="AG5" s="592"/>
      <c r="AH5" s="529"/>
      <c r="AI5" s="590"/>
      <c r="AJ5" s="590"/>
      <c r="AK5" s="590"/>
      <c r="AL5" s="590"/>
    </row>
    <row r="6" spans="1:38" ht="38.25" customHeight="1" thickBot="1">
      <c r="U6" s="593"/>
      <c r="V6" s="1555" t="s">
        <v>222</v>
      </c>
      <c r="W6" s="1493"/>
      <c r="X6" s="1493"/>
      <c r="Y6" s="1493"/>
      <c r="Z6" s="1493"/>
      <c r="AA6" s="594" t="s">
        <v>223</v>
      </c>
      <c r="AB6" s="594" t="s">
        <v>224</v>
      </c>
      <c r="AC6" s="595"/>
      <c r="AD6" s="595"/>
      <c r="AF6" s="590" t="s">
        <v>230</v>
      </c>
      <c r="AG6" s="592"/>
      <c r="AH6" s="596">
        <f>T31</f>
        <v>17</v>
      </c>
      <c r="AI6" s="590"/>
      <c r="AJ6" s="590"/>
      <c r="AK6" s="590"/>
      <c r="AL6" s="597"/>
    </row>
    <row r="7" spans="1:38" ht="35.25" customHeight="1" thickBot="1">
      <c r="A7" s="590"/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8"/>
      <c r="T7" s="599"/>
      <c r="U7" s="599"/>
      <c r="V7" s="1556" t="s">
        <v>291</v>
      </c>
      <c r="W7" s="1535"/>
      <c r="X7" s="1535"/>
      <c r="Y7" s="1535"/>
      <c r="Z7" s="1535"/>
      <c r="AA7" s="600"/>
      <c r="AB7" s="601"/>
      <c r="AC7" s="602"/>
      <c r="AD7" s="603"/>
      <c r="AE7" s="604"/>
      <c r="AF7" s="1439" t="s">
        <v>231</v>
      </c>
      <c r="AG7" s="1557"/>
      <c r="AH7" s="605">
        <f>AG31</f>
        <v>625146.5</v>
      </c>
    </row>
    <row r="8" spans="1:38" ht="15.75" thickBot="1">
      <c r="V8" s="1556" t="s">
        <v>380</v>
      </c>
      <c r="W8" s="1535"/>
      <c r="X8" s="1535"/>
      <c r="Y8" s="1535"/>
      <c r="Z8" s="1535"/>
    </row>
    <row r="9" spans="1:38" ht="29.25" customHeight="1" thickBot="1">
      <c r="A9" s="606" t="s">
        <v>232</v>
      </c>
      <c r="B9" s="607"/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8"/>
      <c r="R9" s="1554" t="s">
        <v>277</v>
      </c>
      <c r="S9" s="1441" t="s">
        <v>233</v>
      </c>
      <c r="T9" s="1441" t="s">
        <v>234</v>
      </c>
      <c r="U9" s="1441" t="s">
        <v>235</v>
      </c>
      <c r="V9" s="1443" t="s">
        <v>5</v>
      </c>
      <c r="W9" s="1441" t="s">
        <v>24</v>
      </c>
      <c r="X9" s="1550"/>
      <c r="Y9" s="1441" t="s">
        <v>123</v>
      </c>
      <c r="Z9" s="1550"/>
      <c r="AA9" s="1550"/>
      <c r="AB9" s="1550"/>
      <c r="AC9" s="1443" t="s">
        <v>7</v>
      </c>
      <c r="AD9" s="1442"/>
      <c r="AE9" s="1442"/>
      <c r="AF9" s="1442"/>
      <c r="AG9" s="1444" t="s">
        <v>236</v>
      </c>
      <c r="AH9" s="1445" t="s">
        <v>196</v>
      </c>
    </row>
    <row r="10" spans="1:38" ht="65.25" customHeight="1" thickBot="1">
      <c r="A10" s="1551" t="s">
        <v>237</v>
      </c>
      <c r="B10" s="1552"/>
      <c r="C10" s="1552"/>
      <c r="D10" s="1552"/>
      <c r="E10" s="1552"/>
      <c r="F10" s="1552"/>
      <c r="G10" s="1552"/>
      <c r="H10" s="1552"/>
      <c r="I10" s="1552"/>
      <c r="J10" s="1552"/>
      <c r="K10" s="1552"/>
      <c r="L10" s="1552"/>
      <c r="M10" s="1552"/>
      <c r="N10" s="1552"/>
      <c r="O10" s="1552"/>
      <c r="P10" s="1552"/>
      <c r="Q10" s="1553"/>
      <c r="R10" s="1554"/>
      <c r="S10" s="1441"/>
      <c r="T10" s="1441"/>
      <c r="U10" s="1441"/>
      <c r="V10" s="1443"/>
      <c r="W10" s="609" t="s">
        <v>238</v>
      </c>
      <c r="X10" s="610" t="s">
        <v>292</v>
      </c>
      <c r="Y10" s="610" t="s">
        <v>238</v>
      </c>
      <c r="Z10" s="610" t="s">
        <v>293</v>
      </c>
      <c r="AA10" s="610" t="s">
        <v>238</v>
      </c>
      <c r="AB10" s="610" t="s">
        <v>294</v>
      </c>
      <c r="AC10" s="610" t="s">
        <v>238</v>
      </c>
      <c r="AD10" s="610" t="s">
        <v>280</v>
      </c>
      <c r="AE10" s="610" t="s">
        <v>238</v>
      </c>
      <c r="AF10" s="611" t="s">
        <v>281</v>
      </c>
      <c r="AG10" s="1499"/>
      <c r="AH10" s="1445"/>
    </row>
    <row r="11" spans="1:38" ht="13.5" thickBot="1">
      <c r="A11" s="1537">
        <v>1</v>
      </c>
      <c r="B11" s="1538"/>
      <c r="C11" s="1538"/>
      <c r="D11" s="1538"/>
      <c r="E11" s="1538"/>
      <c r="F11" s="1538"/>
      <c r="G11" s="1538"/>
      <c r="H11" s="1538"/>
      <c r="I11" s="1538"/>
      <c r="J11" s="1538"/>
      <c r="K11" s="1538"/>
      <c r="L11" s="1538"/>
      <c r="M11" s="1538"/>
      <c r="N11" s="1538"/>
      <c r="O11" s="1538"/>
      <c r="P11" s="1538"/>
      <c r="Q11" s="1539"/>
      <c r="R11" s="612">
        <v>1</v>
      </c>
      <c r="S11" s="613">
        <v>2</v>
      </c>
      <c r="T11" s="613">
        <v>3</v>
      </c>
      <c r="U11" s="613">
        <v>4</v>
      </c>
      <c r="V11" s="613">
        <v>5</v>
      </c>
      <c r="W11" s="613">
        <v>6</v>
      </c>
      <c r="X11" s="613">
        <v>7</v>
      </c>
      <c r="Y11" s="613">
        <v>8</v>
      </c>
      <c r="Z11" s="613">
        <v>9</v>
      </c>
      <c r="AA11" s="613">
        <v>10</v>
      </c>
      <c r="AB11" s="613">
        <v>11</v>
      </c>
      <c r="AC11" s="613">
        <v>12</v>
      </c>
      <c r="AD11" s="613">
        <v>13</v>
      </c>
      <c r="AE11" s="613">
        <v>14</v>
      </c>
      <c r="AF11" s="613">
        <v>15</v>
      </c>
      <c r="AG11" s="613">
        <v>16</v>
      </c>
      <c r="AH11" s="614">
        <v>17</v>
      </c>
    </row>
    <row r="12" spans="1:38" ht="27" customHeight="1">
      <c r="A12" s="1448" t="s">
        <v>244</v>
      </c>
      <c r="B12" s="1449"/>
      <c r="C12" s="1449"/>
      <c r="D12" s="1449"/>
      <c r="E12" s="1449"/>
      <c r="F12" s="1449"/>
      <c r="G12" s="1449"/>
      <c r="H12" s="1449"/>
      <c r="I12" s="1449"/>
      <c r="J12" s="1449"/>
      <c r="K12" s="1449"/>
      <c r="L12" s="1449"/>
      <c r="M12" s="1449"/>
      <c r="N12" s="1449"/>
      <c r="O12" s="1449"/>
      <c r="P12" s="1449"/>
      <c r="Q12" s="1449"/>
      <c r="R12" s="615" t="s">
        <v>282</v>
      </c>
      <c r="S12" s="616" t="s">
        <v>104</v>
      </c>
      <c r="T12" s="617">
        <v>1</v>
      </c>
      <c r="U12" s="618">
        <v>10094</v>
      </c>
      <c r="V12" s="619">
        <f t="shared" ref="V12:V27" si="0">T12*U12</f>
        <v>10094</v>
      </c>
      <c r="W12" s="620">
        <v>0.25</v>
      </c>
      <c r="X12" s="621">
        <f>V12*W12</f>
        <v>2523.5</v>
      </c>
      <c r="Y12" s="620">
        <v>0.95</v>
      </c>
      <c r="Z12" s="621">
        <f>V12*Y12</f>
        <v>9589.2999999999993</v>
      </c>
      <c r="AA12" s="620">
        <v>0.2</v>
      </c>
      <c r="AB12" s="621">
        <f>U12*AA12</f>
        <v>2018.8000000000002</v>
      </c>
      <c r="AC12" s="620">
        <v>0.3</v>
      </c>
      <c r="AD12" s="622">
        <f>(V12+X12+Z12+AB12)*AC12</f>
        <v>7267.6799999999994</v>
      </c>
      <c r="AE12" s="620">
        <v>0.3</v>
      </c>
      <c r="AF12" s="622">
        <f>(V12+X12+Z12+AB12)*AE12</f>
        <v>7267.6799999999994</v>
      </c>
      <c r="AG12" s="623">
        <f>AF12+AD12+AB12+Z12+X12+V12</f>
        <v>38760.959999999999</v>
      </c>
      <c r="AH12" s="624">
        <f>AG12*12</f>
        <v>465131.52000000002</v>
      </c>
    </row>
    <row r="13" spans="1:38" ht="31.5" customHeight="1">
      <c r="A13" s="1540"/>
      <c r="B13" s="1492"/>
      <c r="C13" s="1492"/>
      <c r="D13" s="1492"/>
      <c r="E13" s="1492"/>
      <c r="F13" s="1492"/>
      <c r="G13" s="1492"/>
      <c r="H13" s="1492"/>
      <c r="I13" s="1492"/>
      <c r="J13" s="1492"/>
      <c r="K13" s="1492"/>
      <c r="L13" s="1492"/>
      <c r="M13" s="1492"/>
      <c r="N13" s="1492"/>
      <c r="O13" s="1492"/>
      <c r="P13" s="1492"/>
      <c r="Q13" s="1541"/>
      <c r="R13" s="615" t="s">
        <v>295</v>
      </c>
      <c r="S13" s="616" t="s">
        <v>296</v>
      </c>
      <c r="T13" s="617">
        <v>2</v>
      </c>
      <c r="U13" s="618">
        <v>7871</v>
      </c>
      <c r="V13" s="619">
        <f t="shared" si="0"/>
        <v>15742</v>
      </c>
      <c r="W13" s="625">
        <v>0.25</v>
      </c>
      <c r="X13" s="621">
        <f>V13*W13</f>
        <v>3935.5</v>
      </c>
      <c r="Y13" s="625">
        <v>0.9</v>
      </c>
      <c r="Z13" s="621">
        <f>V13*Y13</f>
        <v>14167.800000000001</v>
      </c>
      <c r="AA13" s="625">
        <v>0.3</v>
      </c>
      <c r="AB13" s="621">
        <f>V13*AA13</f>
        <v>4722.5999999999995</v>
      </c>
      <c r="AC13" s="625">
        <v>0.3</v>
      </c>
      <c r="AD13" s="622">
        <f>(V13+X13+Z13+AB13)*AC13</f>
        <v>11570.37</v>
      </c>
      <c r="AE13" s="625">
        <v>0.3</v>
      </c>
      <c r="AF13" s="622">
        <f t="shared" ref="AF13:AF27" si="1">(V13+X13+Z13+AB13)*AE13</f>
        <v>11570.37</v>
      </c>
      <c r="AG13" s="623">
        <f t="shared" ref="AG13:AG27" si="2">AF13+AD13+AB13+Z13+X13+V13</f>
        <v>61708.639999999999</v>
      </c>
      <c r="AH13" s="624">
        <f t="shared" ref="AH13:AH29" si="3">AG13*12</f>
        <v>740503.67999999993</v>
      </c>
    </row>
    <row r="14" spans="1:38" ht="24.75" customHeight="1">
      <c r="A14" s="1540"/>
      <c r="B14" s="1492"/>
      <c r="C14" s="1492"/>
      <c r="D14" s="1492"/>
      <c r="E14" s="1492"/>
      <c r="F14" s="1492"/>
      <c r="G14" s="1492"/>
      <c r="H14" s="1492"/>
      <c r="I14" s="1492"/>
      <c r="J14" s="1492"/>
      <c r="K14" s="1492"/>
      <c r="L14" s="1492"/>
      <c r="M14" s="1492"/>
      <c r="N14" s="1492"/>
      <c r="O14" s="1492"/>
      <c r="P14" s="1492"/>
      <c r="Q14" s="1541"/>
      <c r="R14" s="615" t="s">
        <v>297</v>
      </c>
      <c r="S14" s="616" t="s">
        <v>328</v>
      </c>
      <c r="T14" s="617">
        <v>1</v>
      </c>
      <c r="U14" s="618">
        <v>5109</v>
      </c>
      <c r="V14" s="619">
        <f t="shared" si="0"/>
        <v>5109</v>
      </c>
      <c r="W14" s="625">
        <v>0.25</v>
      </c>
      <c r="X14" s="621">
        <f t="shared" ref="X14:X27" si="4">V14*W14</f>
        <v>1277.25</v>
      </c>
      <c r="Y14" s="625">
        <v>0.85</v>
      </c>
      <c r="Z14" s="621">
        <f t="shared" ref="Z14:Z27" si="5">V14*Y14</f>
        <v>4342.6499999999996</v>
      </c>
      <c r="AA14" s="625">
        <v>0.1</v>
      </c>
      <c r="AB14" s="621">
        <f t="shared" ref="AB14:AB27" si="6">V14*AA14</f>
        <v>510.90000000000003</v>
      </c>
      <c r="AC14" s="625">
        <v>0.3</v>
      </c>
      <c r="AD14" s="622">
        <f t="shared" ref="AD14:AD27" si="7">(V14+X14+Z14+AB14)*AC14</f>
        <v>3371.9399999999996</v>
      </c>
      <c r="AE14" s="625">
        <v>0.3</v>
      </c>
      <c r="AF14" s="622">
        <f t="shared" si="1"/>
        <v>3371.9399999999996</v>
      </c>
      <c r="AG14" s="623">
        <f t="shared" si="2"/>
        <v>17983.68</v>
      </c>
      <c r="AH14" s="624">
        <f t="shared" si="3"/>
        <v>215804.16</v>
      </c>
    </row>
    <row r="15" spans="1:38" ht="32.25" customHeight="1">
      <c r="A15" s="1540"/>
      <c r="B15" s="1492"/>
      <c r="C15" s="1492"/>
      <c r="D15" s="1492"/>
      <c r="E15" s="1492"/>
      <c r="F15" s="1492"/>
      <c r="G15" s="1492"/>
      <c r="H15" s="1492"/>
      <c r="I15" s="1492"/>
      <c r="J15" s="1492"/>
      <c r="K15" s="1492"/>
      <c r="L15" s="1492"/>
      <c r="M15" s="1492"/>
      <c r="N15" s="1492"/>
      <c r="O15" s="1492"/>
      <c r="P15" s="1492"/>
      <c r="Q15" s="1541"/>
      <c r="R15" s="615" t="s">
        <v>298</v>
      </c>
      <c r="S15" s="616" t="s">
        <v>299</v>
      </c>
      <c r="T15" s="617">
        <v>1</v>
      </c>
      <c r="U15" s="618">
        <v>6742</v>
      </c>
      <c r="V15" s="619">
        <f t="shared" si="0"/>
        <v>6742</v>
      </c>
      <c r="W15" s="625">
        <v>0.25</v>
      </c>
      <c r="X15" s="621">
        <f t="shared" si="4"/>
        <v>1685.5</v>
      </c>
      <c r="Y15" s="625">
        <v>0.9</v>
      </c>
      <c r="Z15" s="621">
        <f t="shared" si="5"/>
        <v>6067.8</v>
      </c>
      <c r="AA15" s="625">
        <v>0.3</v>
      </c>
      <c r="AB15" s="621">
        <f t="shared" si="6"/>
        <v>2022.6</v>
      </c>
      <c r="AC15" s="625">
        <v>0.3</v>
      </c>
      <c r="AD15" s="622">
        <f t="shared" si="7"/>
        <v>4955.369999999999</v>
      </c>
      <c r="AE15" s="625">
        <v>0.3</v>
      </c>
      <c r="AF15" s="622">
        <f t="shared" si="1"/>
        <v>4955.369999999999</v>
      </c>
      <c r="AG15" s="623">
        <f t="shared" si="2"/>
        <v>26428.639999999999</v>
      </c>
      <c r="AH15" s="624">
        <f t="shared" si="3"/>
        <v>317143.67999999999</v>
      </c>
    </row>
    <row r="16" spans="1:38" ht="30" customHeight="1">
      <c r="A16" s="1540"/>
      <c r="B16" s="1492"/>
      <c r="C16" s="1492"/>
      <c r="D16" s="1492"/>
      <c r="E16" s="1492"/>
      <c r="F16" s="1492"/>
      <c r="G16" s="1492"/>
      <c r="H16" s="1492"/>
      <c r="I16" s="1492"/>
      <c r="J16" s="1492"/>
      <c r="K16" s="1492"/>
      <c r="L16" s="1492"/>
      <c r="M16" s="1492"/>
      <c r="N16" s="1492"/>
      <c r="O16" s="1492"/>
      <c r="P16" s="1492"/>
      <c r="Q16" s="1541"/>
      <c r="R16" s="615" t="s">
        <v>300</v>
      </c>
      <c r="S16" s="616" t="s">
        <v>301</v>
      </c>
      <c r="T16" s="617">
        <v>1</v>
      </c>
      <c r="U16" s="618">
        <v>6742</v>
      </c>
      <c r="V16" s="619">
        <f t="shared" si="0"/>
        <v>6742</v>
      </c>
      <c r="W16" s="625">
        <v>0.25</v>
      </c>
      <c r="X16" s="621">
        <f t="shared" si="4"/>
        <v>1685.5</v>
      </c>
      <c r="Y16" s="625">
        <v>0.9</v>
      </c>
      <c r="Z16" s="621">
        <f t="shared" si="5"/>
        <v>6067.8</v>
      </c>
      <c r="AA16" s="625">
        <v>0.15</v>
      </c>
      <c r="AB16" s="621">
        <f t="shared" si="6"/>
        <v>1011.3</v>
      </c>
      <c r="AC16" s="625">
        <v>0.3</v>
      </c>
      <c r="AD16" s="622">
        <f t="shared" si="7"/>
        <v>4651.9799999999996</v>
      </c>
      <c r="AE16" s="625">
        <v>0.3</v>
      </c>
      <c r="AF16" s="622">
        <f t="shared" si="1"/>
        <v>4651.9799999999996</v>
      </c>
      <c r="AG16" s="623">
        <f t="shared" si="2"/>
        <v>24810.559999999998</v>
      </c>
      <c r="AH16" s="624">
        <f t="shared" si="3"/>
        <v>297726.71999999997</v>
      </c>
      <c r="AI16" s="589" t="s">
        <v>128</v>
      </c>
    </row>
    <row r="17" spans="1:35" ht="38.25">
      <c r="A17" s="1540"/>
      <c r="B17" s="1492"/>
      <c r="C17" s="1492"/>
      <c r="D17" s="1492"/>
      <c r="E17" s="1492"/>
      <c r="F17" s="1492"/>
      <c r="G17" s="1492"/>
      <c r="H17" s="1492"/>
      <c r="I17" s="1492"/>
      <c r="J17" s="1492"/>
      <c r="K17" s="1492"/>
      <c r="L17" s="1492"/>
      <c r="M17" s="1492"/>
      <c r="N17" s="1492"/>
      <c r="O17" s="1492"/>
      <c r="P17" s="1492"/>
      <c r="Q17" s="1541"/>
      <c r="R17" s="615" t="s">
        <v>302</v>
      </c>
      <c r="S17" s="616" t="s">
        <v>303</v>
      </c>
      <c r="T17" s="617">
        <v>1</v>
      </c>
      <c r="U17" s="618">
        <v>6742</v>
      </c>
      <c r="V17" s="619">
        <f t="shared" si="0"/>
        <v>6742</v>
      </c>
      <c r="W17" s="625">
        <v>0.25</v>
      </c>
      <c r="X17" s="621">
        <f t="shared" si="4"/>
        <v>1685.5</v>
      </c>
      <c r="Y17" s="625">
        <v>0.9</v>
      </c>
      <c r="Z17" s="621">
        <f t="shared" si="5"/>
        <v>6067.8</v>
      </c>
      <c r="AA17" s="625">
        <v>0.15</v>
      </c>
      <c r="AB17" s="621">
        <f t="shared" si="6"/>
        <v>1011.3</v>
      </c>
      <c r="AC17" s="625">
        <v>0.3</v>
      </c>
      <c r="AD17" s="622">
        <f t="shared" si="7"/>
        <v>4651.9799999999996</v>
      </c>
      <c r="AE17" s="625">
        <v>0.3</v>
      </c>
      <c r="AF17" s="622">
        <f t="shared" si="1"/>
        <v>4651.9799999999996</v>
      </c>
      <c r="AG17" s="623">
        <f t="shared" si="2"/>
        <v>24810.559999999998</v>
      </c>
      <c r="AH17" s="624">
        <f t="shared" si="3"/>
        <v>297726.71999999997</v>
      </c>
    </row>
    <row r="18" spans="1:35" ht="38.25">
      <c r="A18" s="1540"/>
      <c r="B18" s="1492"/>
      <c r="C18" s="1492"/>
      <c r="D18" s="1492"/>
      <c r="E18" s="1492"/>
      <c r="F18" s="1492"/>
      <c r="G18" s="1492"/>
      <c r="H18" s="1492"/>
      <c r="I18" s="1492"/>
      <c r="J18" s="1492"/>
      <c r="K18" s="1492"/>
      <c r="L18" s="1492"/>
      <c r="M18" s="1492"/>
      <c r="N18" s="1492"/>
      <c r="O18" s="1492"/>
      <c r="P18" s="1492"/>
      <c r="Q18" s="1541"/>
      <c r="R18" s="615" t="s">
        <v>304</v>
      </c>
      <c r="S18" s="616" t="s">
        <v>305</v>
      </c>
      <c r="T18" s="617">
        <v>1</v>
      </c>
      <c r="U18" s="618">
        <v>6742</v>
      </c>
      <c r="V18" s="619">
        <f t="shared" si="0"/>
        <v>6742</v>
      </c>
      <c r="W18" s="625">
        <v>0.25</v>
      </c>
      <c r="X18" s="621">
        <f t="shared" si="4"/>
        <v>1685.5</v>
      </c>
      <c r="Y18" s="625">
        <v>0.9</v>
      </c>
      <c r="Z18" s="621">
        <f t="shared" si="5"/>
        <v>6067.8</v>
      </c>
      <c r="AA18" s="625">
        <v>0.15</v>
      </c>
      <c r="AB18" s="621">
        <f t="shared" si="6"/>
        <v>1011.3</v>
      </c>
      <c r="AC18" s="625">
        <v>0.3</v>
      </c>
      <c r="AD18" s="622">
        <f t="shared" si="7"/>
        <v>4651.9799999999996</v>
      </c>
      <c r="AE18" s="625">
        <v>0.3</v>
      </c>
      <c r="AF18" s="622">
        <f t="shared" si="1"/>
        <v>4651.9799999999996</v>
      </c>
      <c r="AG18" s="623">
        <f t="shared" si="2"/>
        <v>24810.559999999998</v>
      </c>
      <c r="AH18" s="624">
        <f t="shared" si="3"/>
        <v>297726.71999999997</v>
      </c>
    </row>
    <row r="19" spans="1:35" ht="50.25" customHeight="1">
      <c r="A19" s="1540"/>
      <c r="B19" s="1492"/>
      <c r="C19" s="1492"/>
      <c r="D19" s="1492"/>
      <c r="E19" s="1492"/>
      <c r="F19" s="1492"/>
      <c r="G19" s="1492"/>
      <c r="H19" s="1492"/>
      <c r="I19" s="1492"/>
      <c r="J19" s="1492"/>
      <c r="K19" s="1492"/>
      <c r="L19" s="1492"/>
      <c r="M19" s="1492"/>
      <c r="N19" s="1492"/>
      <c r="O19" s="1492"/>
      <c r="P19" s="1492"/>
      <c r="Q19" s="1541"/>
      <c r="R19" s="615" t="s">
        <v>306</v>
      </c>
      <c r="S19" s="616" t="s">
        <v>388</v>
      </c>
      <c r="T19" s="617">
        <v>1</v>
      </c>
      <c r="U19" s="618">
        <v>6742</v>
      </c>
      <c r="V19" s="619">
        <f t="shared" si="0"/>
        <v>6742</v>
      </c>
      <c r="W19" s="625">
        <v>0.25</v>
      </c>
      <c r="X19" s="621">
        <f t="shared" si="4"/>
        <v>1685.5</v>
      </c>
      <c r="Y19" s="625">
        <v>0.9</v>
      </c>
      <c r="Z19" s="621">
        <f t="shared" si="5"/>
        <v>6067.8</v>
      </c>
      <c r="AA19" s="625">
        <v>0.1</v>
      </c>
      <c r="AB19" s="621">
        <f t="shared" si="6"/>
        <v>674.2</v>
      </c>
      <c r="AC19" s="625">
        <v>0.3</v>
      </c>
      <c r="AD19" s="622">
        <f t="shared" si="7"/>
        <v>4550.8499999999995</v>
      </c>
      <c r="AE19" s="625">
        <v>0.3</v>
      </c>
      <c r="AF19" s="622">
        <f t="shared" si="1"/>
        <v>4550.8499999999995</v>
      </c>
      <c r="AG19" s="623">
        <f t="shared" si="2"/>
        <v>24271.200000000001</v>
      </c>
      <c r="AH19" s="624">
        <f t="shared" si="3"/>
        <v>291254.40000000002</v>
      </c>
    </row>
    <row r="20" spans="1:35" ht="46.5" customHeight="1">
      <c r="A20" s="1540"/>
      <c r="B20" s="1492"/>
      <c r="C20" s="1492"/>
      <c r="D20" s="1492"/>
      <c r="E20" s="1492"/>
      <c r="F20" s="1492"/>
      <c r="G20" s="1492"/>
      <c r="H20" s="1492"/>
      <c r="I20" s="1492"/>
      <c r="J20" s="1492"/>
      <c r="K20" s="1492"/>
      <c r="L20" s="1492"/>
      <c r="M20" s="1492"/>
      <c r="N20" s="1492"/>
      <c r="O20" s="1492"/>
      <c r="P20" s="1492"/>
      <c r="Q20" s="1541"/>
      <c r="R20" s="1019" t="s">
        <v>308</v>
      </c>
      <c r="S20" s="1020" t="s">
        <v>355</v>
      </c>
      <c r="T20" s="1021">
        <v>1</v>
      </c>
      <c r="U20" s="1022">
        <v>6742</v>
      </c>
      <c r="V20" s="1023">
        <f t="shared" si="0"/>
        <v>6742</v>
      </c>
      <c r="W20" s="1024">
        <v>0.25</v>
      </c>
      <c r="X20" s="1025">
        <f t="shared" si="4"/>
        <v>1685.5</v>
      </c>
      <c r="Y20" s="1024">
        <v>0.9</v>
      </c>
      <c r="Z20" s="1025">
        <f t="shared" si="5"/>
        <v>6067.8</v>
      </c>
      <c r="AA20" s="1024">
        <v>0.3</v>
      </c>
      <c r="AB20" s="1025">
        <f t="shared" si="6"/>
        <v>2022.6</v>
      </c>
      <c r="AC20" s="1024">
        <v>0.3</v>
      </c>
      <c r="AD20" s="1026">
        <f t="shared" si="7"/>
        <v>4955.369999999999</v>
      </c>
      <c r="AE20" s="1024">
        <v>0.3</v>
      </c>
      <c r="AF20" s="1026">
        <f t="shared" si="1"/>
        <v>4955.369999999999</v>
      </c>
      <c r="AG20" s="1027">
        <f t="shared" si="2"/>
        <v>26428.639999999999</v>
      </c>
      <c r="AH20" s="624">
        <f t="shared" si="3"/>
        <v>317143.67999999999</v>
      </c>
    </row>
    <row r="21" spans="1:35" ht="38.25">
      <c r="A21" s="1540"/>
      <c r="B21" s="1492"/>
      <c r="C21" s="1492"/>
      <c r="D21" s="1492"/>
      <c r="E21" s="1492"/>
      <c r="F21" s="1492"/>
      <c r="G21" s="1492"/>
      <c r="H21" s="1492"/>
      <c r="I21" s="1492"/>
      <c r="J21" s="1492"/>
      <c r="K21" s="1492"/>
      <c r="L21" s="1492"/>
      <c r="M21" s="1492"/>
      <c r="N21" s="1492"/>
      <c r="O21" s="1492"/>
      <c r="P21" s="1492"/>
      <c r="Q21" s="1541"/>
      <c r="R21" s="615" t="s">
        <v>310</v>
      </c>
      <c r="S21" s="616" t="s">
        <v>311</v>
      </c>
      <c r="T21" s="617">
        <v>1</v>
      </c>
      <c r="U21" s="618">
        <v>6742</v>
      </c>
      <c r="V21" s="619">
        <f t="shared" si="0"/>
        <v>6742</v>
      </c>
      <c r="W21" s="625">
        <v>0.25</v>
      </c>
      <c r="X21" s="621">
        <f t="shared" si="4"/>
        <v>1685.5</v>
      </c>
      <c r="Y21" s="625">
        <v>0.9</v>
      </c>
      <c r="Z21" s="621">
        <f t="shared" si="5"/>
        <v>6067.8</v>
      </c>
      <c r="AA21" s="625">
        <v>0.3</v>
      </c>
      <c r="AB21" s="621">
        <f t="shared" si="6"/>
        <v>2022.6</v>
      </c>
      <c r="AC21" s="625">
        <v>0.3</v>
      </c>
      <c r="AD21" s="622">
        <f t="shared" si="7"/>
        <v>4955.369999999999</v>
      </c>
      <c r="AE21" s="625">
        <v>0.3</v>
      </c>
      <c r="AF21" s="622">
        <f t="shared" si="1"/>
        <v>4955.369999999999</v>
      </c>
      <c r="AG21" s="623">
        <f t="shared" si="2"/>
        <v>26428.639999999999</v>
      </c>
      <c r="AH21" s="624">
        <f t="shared" si="3"/>
        <v>317143.67999999999</v>
      </c>
    </row>
    <row r="22" spans="1:35" ht="43.5" customHeight="1">
      <c r="A22" s="1540"/>
      <c r="B22" s="1492"/>
      <c r="C22" s="1492"/>
      <c r="D22" s="1492"/>
      <c r="E22" s="1492"/>
      <c r="F22" s="1492"/>
      <c r="G22" s="1492"/>
      <c r="H22" s="1492"/>
      <c r="I22" s="1492"/>
      <c r="J22" s="1492"/>
      <c r="K22" s="1492"/>
      <c r="L22" s="1492"/>
      <c r="M22" s="1492"/>
      <c r="N22" s="1492"/>
      <c r="O22" s="1492"/>
      <c r="P22" s="1492"/>
      <c r="Q22" s="1541"/>
      <c r="R22" s="626" t="s">
        <v>312</v>
      </c>
      <c r="S22" s="616" t="s">
        <v>313</v>
      </c>
      <c r="T22" s="617">
        <v>1</v>
      </c>
      <c r="U22" s="618">
        <v>6742</v>
      </c>
      <c r="V22" s="619">
        <f t="shared" si="0"/>
        <v>6742</v>
      </c>
      <c r="W22" s="625">
        <v>0.25</v>
      </c>
      <c r="X22" s="621">
        <f t="shared" si="4"/>
        <v>1685.5</v>
      </c>
      <c r="Y22" s="625">
        <v>0.9</v>
      </c>
      <c r="Z22" s="621">
        <f t="shared" si="5"/>
        <v>6067.8</v>
      </c>
      <c r="AA22" s="625">
        <v>0.15</v>
      </c>
      <c r="AB22" s="621">
        <f t="shared" si="6"/>
        <v>1011.3</v>
      </c>
      <c r="AC22" s="625">
        <v>0.3</v>
      </c>
      <c r="AD22" s="622">
        <f t="shared" si="7"/>
        <v>4651.9799999999996</v>
      </c>
      <c r="AE22" s="625">
        <v>0.3</v>
      </c>
      <c r="AF22" s="622">
        <f t="shared" si="1"/>
        <v>4651.9799999999996</v>
      </c>
      <c r="AG22" s="623">
        <f t="shared" si="2"/>
        <v>24810.559999999998</v>
      </c>
      <c r="AH22" s="624">
        <f t="shared" si="3"/>
        <v>297726.71999999997</v>
      </c>
    </row>
    <row r="23" spans="1:35" ht="38.25">
      <c r="A23" s="1540"/>
      <c r="B23" s="1492"/>
      <c r="C23" s="1492"/>
      <c r="D23" s="1492"/>
      <c r="E23" s="1492"/>
      <c r="F23" s="1492"/>
      <c r="G23" s="1492"/>
      <c r="H23" s="1492"/>
      <c r="I23" s="1492"/>
      <c r="J23" s="1492"/>
      <c r="K23" s="1492"/>
      <c r="L23" s="1492"/>
      <c r="M23" s="1492"/>
      <c r="N23" s="1492"/>
      <c r="O23" s="1492"/>
      <c r="P23" s="1492"/>
      <c r="Q23" s="1541"/>
      <c r="R23" s="615" t="s">
        <v>314</v>
      </c>
      <c r="S23" s="616" t="s">
        <v>315</v>
      </c>
      <c r="T23" s="617">
        <v>1</v>
      </c>
      <c r="U23" s="618">
        <v>6742</v>
      </c>
      <c r="V23" s="619">
        <f t="shared" si="0"/>
        <v>6742</v>
      </c>
      <c r="W23" s="625">
        <v>0.25</v>
      </c>
      <c r="X23" s="621">
        <f t="shared" si="4"/>
        <v>1685.5</v>
      </c>
      <c r="Y23" s="625">
        <v>0.9</v>
      </c>
      <c r="Z23" s="621">
        <f t="shared" si="5"/>
        <v>6067.8</v>
      </c>
      <c r="AA23" s="625">
        <v>0.3</v>
      </c>
      <c r="AB23" s="621">
        <f t="shared" si="6"/>
        <v>2022.6</v>
      </c>
      <c r="AC23" s="625">
        <v>0.3</v>
      </c>
      <c r="AD23" s="622">
        <f t="shared" si="7"/>
        <v>4955.369999999999</v>
      </c>
      <c r="AE23" s="625">
        <v>0.3</v>
      </c>
      <c r="AF23" s="622">
        <f t="shared" si="1"/>
        <v>4955.369999999999</v>
      </c>
      <c r="AG23" s="623">
        <f t="shared" si="2"/>
        <v>26428.639999999999</v>
      </c>
      <c r="AH23" s="624">
        <f t="shared" si="3"/>
        <v>317143.67999999999</v>
      </c>
    </row>
    <row r="24" spans="1:35" ht="44.25" customHeight="1">
      <c r="A24" s="1540"/>
      <c r="B24" s="1492"/>
      <c r="C24" s="1492"/>
      <c r="D24" s="1492"/>
      <c r="E24" s="1492"/>
      <c r="F24" s="1492"/>
      <c r="G24" s="1492"/>
      <c r="H24" s="1492"/>
      <c r="I24" s="1492"/>
      <c r="J24" s="1492"/>
      <c r="K24" s="1492"/>
      <c r="L24" s="1492"/>
      <c r="M24" s="1492"/>
      <c r="N24" s="1492"/>
      <c r="O24" s="1492"/>
      <c r="P24" s="1492"/>
      <c r="Q24" s="1541"/>
      <c r="R24" s="615" t="s">
        <v>316</v>
      </c>
      <c r="S24" s="616" t="s">
        <v>356</v>
      </c>
      <c r="T24" s="617">
        <v>1</v>
      </c>
      <c r="U24" s="618">
        <v>6742</v>
      </c>
      <c r="V24" s="619">
        <f t="shared" si="0"/>
        <v>6742</v>
      </c>
      <c r="W24" s="625">
        <v>0.25</v>
      </c>
      <c r="X24" s="621">
        <f t="shared" si="4"/>
        <v>1685.5</v>
      </c>
      <c r="Y24" s="625">
        <v>0.9</v>
      </c>
      <c r="Z24" s="621">
        <f t="shared" si="5"/>
        <v>6067.8</v>
      </c>
      <c r="AA24" s="625">
        <v>0.1</v>
      </c>
      <c r="AB24" s="621">
        <f t="shared" si="6"/>
        <v>674.2</v>
      </c>
      <c r="AC24" s="625">
        <v>0.3</v>
      </c>
      <c r="AD24" s="622">
        <f t="shared" si="7"/>
        <v>4550.8499999999995</v>
      </c>
      <c r="AE24" s="625">
        <v>0.3</v>
      </c>
      <c r="AF24" s="622">
        <f t="shared" si="1"/>
        <v>4550.8499999999995</v>
      </c>
      <c r="AG24" s="623">
        <f t="shared" si="2"/>
        <v>24271.200000000001</v>
      </c>
      <c r="AH24" s="624">
        <f t="shared" si="3"/>
        <v>291254.40000000002</v>
      </c>
    </row>
    <row r="25" spans="1:35" s="364" customFormat="1" ht="40.5" customHeight="1">
      <c r="A25" s="1540"/>
      <c r="B25" s="1492"/>
      <c r="C25" s="1492"/>
      <c r="D25" s="1492"/>
      <c r="E25" s="1492"/>
      <c r="F25" s="1492"/>
      <c r="G25" s="1492"/>
      <c r="H25" s="1492"/>
      <c r="I25" s="1492"/>
      <c r="J25" s="1492"/>
      <c r="K25" s="1492"/>
      <c r="L25" s="1492"/>
      <c r="M25" s="1492"/>
      <c r="N25" s="1492"/>
      <c r="O25" s="1492"/>
      <c r="P25" s="1492"/>
      <c r="Q25" s="1541"/>
      <c r="R25" s="365" t="s">
        <v>318</v>
      </c>
      <c r="S25" s="627" t="s">
        <v>319</v>
      </c>
      <c r="T25" s="628">
        <v>1</v>
      </c>
      <c r="U25" s="618">
        <v>6742</v>
      </c>
      <c r="V25" s="619">
        <f t="shared" si="0"/>
        <v>6742</v>
      </c>
      <c r="W25" s="629">
        <v>0.25</v>
      </c>
      <c r="X25" s="630">
        <f t="shared" si="4"/>
        <v>1685.5</v>
      </c>
      <c r="Y25" s="629">
        <v>0.9</v>
      </c>
      <c r="Z25" s="630">
        <f t="shared" si="5"/>
        <v>6067.8</v>
      </c>
      <c r="AA25" s="629">
        <v>0.1</v>
      </c>
      <c r="AB25" s="630">
        <f t="shared" si="6"/>
        <v>674.2</v>
      </c>
      <c r="AC25" s="629">
        <v>0.3</v>
      </c>
      <c r="AD25" s="631">
        <f t="shared" si="7"/>
        <v>4550.8499999999995</v>
      </c>
      <c r="AE25" s="629">
        <v>0.3</v>
      </c>
      <c r="AF25" s="631">
        <f t="shared" si="1"/>
        <v>4550.8499999999995</v>
      </c>
      <c r="AG25" s="632">
        <f t="shared" si="2"/>
        <v>24271.200000000001</v>
      </c>
      <c r="AH25" s="624">
        <f t="shared" si="3"/>
        <v>291254.40000000002</v>
      </c>
    </row>
    <row r="26" spans="1:35" ht="36" customHeight="1">
      <c r="A26" s="1540"/>
      <c r="B26" s="1492"/>
      <c r="C26" s="1492"/>
      <c r="D26" s="1492"/>
      <c r="E26" s="1492"/>
      <c r="F26" s="1492"/>
      <c r="G26" s="1492"/>
      <c r="H26" s="1492"/>
      <c r="I26" s="1492"/>
      <c r="J26" s="1492"/>
      <c r="K26" s="1492"/>
      <c r="L26" s="1492"/>
      <c r="M26" s="1492"/>
      <c r="N26" s="1492"/>
      <c r="O26" s="1492"/>
      <c r="P26" s="1492"/>
      <c r="Q26" s="1541"/>
      <c r="R26" s="615" t="s">
        <v>320</v>
      </c>
      <c r="S26" s="616" t="s">
        <v>389</v>
      </c>
      <c r="T26" s="617">
        <v>1</v>
      </c>
      <c r="U26" s="618">
        <v>6742</v>
      </c>
      <c r="V26" s="619">
        <f t="shared" si="0"/>
        <v>6742</v>
      </c>
      <c r="W26" s="625">
        <v>0.25</v>
      </c>
      <c r="X26" s="621">
        <f t="shared" si="4"/>
        <v>1685.5</v>
      </c>
      <c r="Y26" s="625">
        <v>0.9</v>
      </c>
      <c r="Z26" s="621">
        <f t="shared" si="5"/>
        <v>6067.8</v>
      </c>
      <c r="AA26" s="625">
        <v>0.3</v>
      </c>
      <c r="AB26" s="621">
        <f t="shared" si="6"/>
        <v>2022.6</v>
      </c>
      <c r="AC26" s="625">
        <v>0.3</v>
      </c>
      <c r="AD26" s="622">
        <f t="shared" si="7"/>
        <v>4955.369999999999</v>
      </c>
      <c r="AE26" s="625">
        <v>0.2</v>
      </c>
      <c r="AF26" s="622">
        <f t="shared" si="1"/>
        <v>3303.58</v>
      </c>
      <c r="AG26" s="623">
        <f t="shared" si="2"/>
        <v>24776.85</v>
      </c>
      <c r="AH26" s="624">
        <f t="shared" si="3"/>
        <v>297322.19999999995</v>
      </c>
    </row>
    <row r="27" spans="1:35" ht="35.25" customHeight="1" thickBot="1">
      <c r="A27" s="1542"/>
      <c r="B27" s="1543"/>
      <c r="C27" s="1543"/>
      <c r="D27" s="1543"/>
      <c r="E27" s="1543"/>
      <c r="F27" s="1543"/>
      <c r="G27" s="1543"/>
      <c r="H27" s="1543"/>
      <c r="I27" s="1543"/>
      <c r="J27" s="1543"/>
      <c r="K27" s="1543"/>
      <c r="L27" s="1543"/>
      <c r="M27" s="1543"/>
      <c r="N27" s="1543"/>
      <c r="O27" s="1543"/>
      <c r="P27" s="1543"/>
      <c r="Q27" s="1543"/>
      <c r="R27" s="615" t="s">
        <v>321</v>
      </c>
      <c r="S27" s="616" t="s">
        <v>257</v>
      </c>
      <c r="T27" s="617">
        <v>1</v>
      </c>
      <c r="U27" s="618">
        <v>6154</v>
      </c>
      <c r="V27" s="619">
        <f t="shared" si="0"/>
        <v>6154</v>
      </c>
      <c r="W27" s="625"/>
      <c r="X27" s="621">
        <f t="shared" si="4"/>
        <v>0</v>
      </c>
      <c r="Y27" s="625">
        <v>0.9</v>
      </c>
      <c r="Z27" s="621">
        <f t="shared" si="5"/>
        <v>5538.6</v>
      </c>
      <c r="AA27" s="625">
        <v>0.1</v>
      </c>
      <c r="AB27" s="621">
        <f t="shared" si="6"/>
        <v>615.40000000000009</v>
      </c>
      <c r="AC27" s="625">
        <v>0.3</v>
      </c>
      <c r="AD27" s="622">
        <f t="shared" si="7"/>
        <v>3692.3999999999996</v>
      </c>
      <c r="AE27" s="625">
        <v>0.3</v>
      </c>
      <c r="AF27" s="622">
        <f t="shared" si="1"/>
        <v>3692.3999999999996</v>
      </c>
      <c r="AG27" s="623">
        <f t="shared" si="2"/>
        <v>19692.8</v>
      </c>
      <c r="AH27" s="624">
        <f t="shared" si="3"/>
        <v>236313.59999999998</v>
      </c>
    </row>
    <row r="28" spans="1:35" ht="26.25" thickBot="1">
      <c r="A28" s="1544"/>
      <c r="B28" s="1545"/>
      <c r="C28" s="1545"/>
      <c r="D28" s="1545"/>
      <c r="E28" s="1545"/>
      <c r="F28" s="1545"/>
      <c r="G28" s="1545"/>
      <c r="H28" s="1545"/>
      <c r="I28" s="1545"/>
      <c r="J28" s="1545"/>
      <c r="K28" s="1545"/>
      <c r="L28" s="1545"/>
      <c r="M28" s="1545"/>
      <c r="N28" s="1545"/>
      <c r="O28" s="1545"/>
      <c r="P28" s="1545"/>
      <c r="Q28" s="1546"/>
      <c r="R28" s="633"/>
      <c r="S28" s="634" t="s">
        <v>249</v>
      </c>
      <c r="T28" s="635">
        <f>SUM(T12:T27)</f>
        <v>17</v>
      </c>
      <c r="U28" s="635"/>
      <c r="V28" s="635">
        <f t="shared" ref="V28:AH28" si="8">SUM(V12:V27)</f>
        <v>118003</v>
      </c>
      <c r="W28" s="635">
        <f t="shared" si="8"/>
        <v>3.75</v>
      </c>
      <c r="X28" s="635">
        <f t="shared" si="8"/>
        <v>27962.25</v>
      </c>
      <c r="Y28" s="635">
        <f t="shared" si="8"/>
        <v>14.400000000000004</v>
      </c>
      <c r="Z28" s="635">
        <f t="shared" si="8"/>
        <v>106451.95000000004</v>
      </c>
      <c r="AA28" s="635">
        <f t="shared" si="8"/>
        <v>3.0999999999999996</v>
      </c>
      <c r="AB28" s="635">
        <f t="shared" si="8"/>
        <v>24048.499999999996</v>
      </c>
      <c r="AC28" s="635"/>
      <c r="AD28" s="635">
        <f t="shared" si="8"/>
        <v>82939.709999999977</v>
      </c>
      <c r="AE28" s="635"/>
      <c r="AF28" s="635">
        <f t="shared" si="8"/>
        <v>81287.919999999984</v>
      </c>
      <c r="AG28" s="636">
        <f>SUM(AG12:AG27)</f>
        <v>440693.33</v>
      </c>
      <c r="AH28" s="637">
        <f t="shared" si="8"/>
        <v>5288319.96</v>
      </c>
    </row>
    <row r="29" spans="1:35" ht="23.25" customHeight="1" thickBot="1">
      <c r="A29" s="1547"/>
      <c r="B29" s="1548"/>
      <c r="C29" s="1548"/>
      <c r="D29" s="1548"/>
      <c r="E29" s="1548"/>
      <c r="F29" s="1548"/>
      <c r="G29" s="1548"/>
      <c r="H29" s="1548"/>
      <c r="I29" s="1548"/>
      <c r="J29" s="1548"/>
      <c r="K29" s="1548"/>
      <c r="L29" s="1548"/>
      <c r="M29" s="1548"/>
      <c r="N29" s="1548"/>
      <c r="O29" s="1548"/>
      <c r="P29" s="1548"/>
      <c r="Q29" s="1549"/>
      <c r="R29" s="638"/>
      <c r="S29" s="639" t="s">
        <v>56</v>
      </c>
      <c r="T29" s="640"/>
      <c r="U29" s="640"/>
      <c r="V29" s="397">
        <v>0</v>
      </c>
      <c r="W29" s="641"/>
      <c r="X29" s="642">
        <v>0</v>
      </c>
      <c r="Y29" s="641"/>
      <c r="Z29" s="642">
        <v>0</v>
      </c>
      <c r="AA29" s="640"/>
      <c r="AB29" s="642">
        <v>0</v>
      </c>
      <c r="AC29" s="641"/>
      <c r="AD29" s="641"/>
      <c r="AE29" s="641"/>
      <c r="AF29" s="642">
        <v>0</v>
      </c>
      <c r="AG29" s="643">
        <v>184453.17</v>
      </c>
      <c r="AH29" s="624">
        <f t="shared" si="3"/>
        <v>2213438.04</v>
      </c>
      <c r="AI29" s="657">
        <f>AG28+AG29</f>
        <v>625146.5</v>
      </c>
    </row>
    <row r="30" spans="1:35" ht="28.5" hidden="1" customHeight="1" thickBot="1">
      <c r="A30" s="644"/>
      <c r="B30" s="644"/>
      <c r="C30" s="644"/>
      <c r="D30" s="644"/>
      <c r="E30" s="644"/>
      <c r="F30" s="644"/>
      <c r="G30" s="644"/>
      <c r="H30" s="644"/>
      <c r="I30" s="644"/>
      <c r="J30" s="644"/>
      <c r="K30" s="644"/>
      <c r="L30" s="644"/>
      <c r="M30" s="644"/>
      <c r="N30" s="644"/>
      <c r="O30" s="644"/>
      <c r="P30" s="644"/>
      <c r="Q30" s="644"/>
      <c r="R30" s="645"/>
      <c r="S30" s="528" t="s">
        <v>347</v>
      </c>
      <c r="T30" s="646"/>
      <c r="U30" s="646"/>
      <c r="V30" s="647"/>
      <c r="W30" s="648"/>
      <c r="X30" s="649"/>
      <c r="Y30" s="648"/>
      <c r="Z30" s="649"/>
      <c r="AA30" s="646"/>
      <c r="AB30" s="649"/>
      <c r="AC30" s="648"/>
      <c r="AD30" s="648"/>
      <c r="AE30" s="648"/>
      <c r="AF30" s="649"/>
      <c r="AG30" s="650"/>
      <c r="AH30" s="624">
        <f t="shared" ref="AH30" si="9">AG30*6</f>
        <v>0</v>
      </c>
    </row>
    <row r="31" spans="1:35" ht="30.75" customHeight="1" thickBot="1">
      <c r="A31" s="590"/>
      <c r="B31" s="590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651">
        <f>T28+T29+T30</f>
        <v>17</v>
      </c>
      <c r="U31" s="651">
        <f t="shared" ref="U31:AH31" si="10">U28+U29+U30</f>
        <v>0</v>
      </c>
      <c r="V31" s="651">
        <f t="shared" si="10"/>
        <v>118003</v>
      </c>
      <c r="W31" s="651">
        <f t="shared" si="10"/>
        <v>3.75</v>
      </c>
      <c r="X31" s="651">
        <f t="shared" si="10"/>
        <v>27962.25</v>
      </c>
      <c r="Y31" s="651">
        <f t="shared" si="10"/>
        <v>14.400000000000004</v>
      </c>
      <c r="Z31" s="651">
        <f t="shared" si="10"/>
        <v>106451.95000000004</v>
      </c>
      <c r="AA31" s="651">
        <f t="shared" si="10"/>
        <v>3.0999999999999996</v>
      </c>
      <c r="AB31" s="651">
        <f t="shared" si="10"/>
        <v>24048.499999999996</v>
      </c>
      <c r="AC31" s="651">
        <f t="shared" si="10"/>
        <v>0</v>
      </c>
      <c r="AD31" s="651">
        <f t="shared" si="10"/>
        <v>82939.709999999977</v>
      </c>
      <c r="AE31" s="651">
        <f t="shared" si="10"/>
        <v>0</v>
      </c>
      <c r="AF31" s="651">
        <f t="shared" si="10"/>
        <v>81287.919999999984</v>
      </c>
      <c r="AG31" s="651">
        <f t="shared" si="10"/>
        <v>625146.5</v>
      </c>
      <c r="AH31" s="833">
        <f t="shared" si="10"/>
        <v>7501758</v>
      </c>
    </row>
    <row r="32" spans="1:35">
      <c r="A32" s="590"/>
      <c r="B32" s="590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654"/>
      <c r="U32" s="654"/>
      <c r="V32" s="654"/>
      <c r="W32" s="654"/>
      <c r="X32" s="654"/>
      <c r="Y32" s="654"/>
      <c r="Z32" s="654"/>
      <c r="AA32" s="654"/>
      <c r="AB32" s="654"/>
      <c r="AC32" s="654"/>
      <c r="AD32" s="654"/>
      <c r="AE32" s="654"/>
      <c r="AF32" s="654"/>
      <c r="AG32" s="655"/>
      <c r="AH32" s="656"/>
    </row>
    <row r="33" spans="19:34">
      <c r="S33" s="589" t="s">
        <v>323</v>
      </c>
      <c r="V33" s="589" t="s">
        <v>324</v>
      </c>
    </row>
    <row r="34" spans="19:34">
      <c r="AG34" s="657"/>
      <c r="AH34" s="657"/>
    </row>
    <row r="35" spans="19:34">
      <c r="S35" s="589" t="s">
        <v>325</v>
      </c>
      <c r="V35" s="589" t="s">
        <v>189</v>
      </c>
      <c r="AG35" s="657"/>
    </row>
    <row r="36" spans="19:34">
      <c r="AG36" s="658"/>
      <c r="AH36" s="767"/>
    </row>
    <row r="37" spans="19:34">
      <c r="AG37" s="658"/>
    </row>
    <row r="38" spans="19:34">
      <c r="AH38" s="657"/>
    </row>
    <row r="39" spans="19:34">
      <c r="AG39" s="657"/>
    </row>
    <row r="42" spans="19:34">
      <c r="AG42" s="657"/>
    </row>
  </sheetData>
  <mergeCells count="20">
    <mergeCell ref="AD2:AG2"/>
    <mergeCell ref="V6:Z6"/>
    <mergeCell ref="V7:Z7"/>
    <mergeCell ref="AF7:AG7"/>
    <mergeCell ref="V8:Z8"/>
    <mergeCell ref="Y9:AB9"/>
    <mergeCell ref="AC9:AF9"/>
    <mergeCell ref="AG9:AG10"/>
    <mergeCell ref="AH9:AH10"/>
    <mergeCell ref="A10:Q10"/>
    <mergeCell ref="R9:R10"/>
    <mergeCell ref="S9:S10"/>
    <mergeCell ref="T9:T10"/>
    <mergeCell ref="U9:U10"/>
    <mergeCell ref="V9:V10"/>
    <mergeCell ref="A11:Q11"/>
    <mergeCell ref="A12:Q27"/>
    <mergeCell ref="A28:Q28"/>
    <mergeCell ref="A29:Q29"/>
    <mergeCell ref="W9:X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FF"/>
  </sheetPr>
  <dimension ref="A1:CC183"/>
  <sheetViews>
    <sheetView tabSelected="1" workbookViewId="0">
      <selection activeCell="CF78" sqref="CF78"/>
    </sheetView>
  </sheetViews>
  <sheetFormatPr defaultRowHeight="12"/>
  <cols>
    <col min="1" max="1" width="11.85546875" style="1084" customWidth="1"/>
    <col min="2" max="2" width="18.7109375" style="1084" customWidth="1"/>
    <col min="3" max="3" width="4.85546875" style="1084" hidden="1" customWidth="1"/>
    <col min="4" max="4" width="7.5703125" style="1084" customWidth="1"/>
    <col min="5" max="5" width="11.42578125" style="1084" customWidth="1"/>
    <col min="6" max="6" width="13" style="1084" customWidth="1"/>
    <col min="7" max="7" width="11.5703125" style="1084" customWidth="1"/>
    <col min="8" max="8" width="10.5703125" style="1084" customWidth="1"/>
    <col min="9" max="9" width="12.28515625" style="1084" customWidth="1"/>
    <col min="10" max="10" width="13.5703125" style="1084" customWidth="1"/>
    <col min="11" max="11" width="13.85546875" style="1084" customWidth="1"/>
    <col min="12" max="12" width="11" style="1084" hidden="1" customWidth="1"/>
    <col min="13" max="13" width="17.28515625" style="1084" hidden="1" customWidth="1"/>
    <col min="14" max="14" width="14.85546875" style="1084" hidden="1" customWidth="1"/>
    <col min="15" max="15" width="12.5703125" style="1084" hidden="1" customWidth="1"/>
    <col min="16" max="16" width="9.140625" style="1084" hidden="1" customWidth="1"/>
    <col min="17" max="17" width="5.140625" style="1084" hidden="1" customWidth="1"/>
    <col min="18" max="18" width="2.5703125" style="1084" hidden="1" customWidth="1"/>
    <col min="19" max="23" width="9.140625" style="1084" hidden="1" customWidth="1"/>
    <col min="24" max="24" width="7" style="1084" hidden="1" customWidth="1"/>
    <col min="25" max="27" width="9.140625" style="1084" hidden="1" customWidth="1"/>
    <col min="28" max="28" width="12.85546875" style="1084" hidden="1" customWidth="1"/>
    <col min="29" max="29" width="15.140625" style="1084" hidden="1" customWidth="1"/>
    <col min="30" max="30" width="11.5703125" style="1084" hidden="1" customWidth="1"/>
    <col min="31" max="31" width="9.140625" style="1084" hidden="1" customWidth="1"/>
    <col min="32" max="32" width="11.7109375" style="1084" hidden="1" customWidth="1"/>
    <col min="33" max="33" width="2.5703125" style="1084" hidden="1" customWidth="1"/>
    <col min="34" max="34" width="13" style="1084" hidden="1" customWidth="1"/>
    <col min="35" max="35" width="12.42578125" style="1084" hidden="1" customWidth="1"/>
    <col min="36" max="36" width="5.140625" style="1084" hidden="1" customWidth="1"/>
    <col min="37" max="37" width="9.140625" style="1084" hidden="1" customWidth="1"/>
    <col min="38" max="38" width="10.85546875" style="1084" hidden="1" customWidth="1"/>
    <col min="39" max="45" width="9.140625" style="1084" hidden="1" customWidth="1"/>
    <col min="46" max="46" width="13.7109375" style="1084" hidden="1" customWidth="1"/>
    <col min="47" max="47" width="13.28515625" style="1084" hidden="1" customWidth="1"/>
    <col min="48" max="48" width="14.28515625" style="1084" hidden="1" customWidth="1"/>
    <col min="49" max="49" width="13.140625" style="1084" hidden="1" customWidth="1"/>
    <col min="50" max="51" width="12.28515625" style="1084" hidden="1" customWidth="1"/>
    <col min="52" max="52" width="9.140625" style="1084" hidden="1" customWidth="1"/>
    <col min="53" max="53" width="10.28515625" style="1084" hidden="1" customWidth="1"/>
    <col min="54" max="55" width="11.28515625" style="1084" hidden="1" customWidth="1"/>
    <col min="56" max="56" width="0" style="1084" hidden="1" customWidth="1"/>
    <col min="57" max="57" width="11.28515625" style="1084" hidden="1" customWidth="1"/>
    <col min="58" max="58" width="11.140625" style="1084" hidden="1" customWidth="1"/>
    <col min="59" max="59" width="11.28515625" style="1084" hidden="1" customWidth="1"/>
    <col min="60" max="60" width="0" style="1084" hidden="1" customWidth="1"/>
    <col min="61" max="61" width="10" style="1084" hidden="1" customWidth="1"/>
    <col min="62" max="63" width="0" style="1084" hidden="1" customWidth="1"/>
    <col min="64" max="64" width="9.42578125" style="1084" hidden="1" customWidth="1"/>
    <col min="65" max="65" width="12.28515625" style="1084" hidden="1" customWidth="1"/>
    <col min="66" max="66" width="12.5703125" style="1084" hidden="1" customWidth="1"/>
    <col min="67" max="68" width="12.42578125" style="1084" hidden="1" customWidth="1"/>
    <col min="69" max="69" width="11.28515625" style="1084" hidden="1" customWidth="1"/>
    <col min="70" max="70" width="12.5703125" style="1084" hidden="1" customWidth="1"/>
    <col min="71" max="71" width="13.140625" style="1084" hidden="1" customWidth="1"/>
    <col min="72" max="72" width="11.42578125" style="1084" hidden="1" customWidth="1"/>
    <col min="73" max="73" width="14.7109375" style="1084" hidden="1" customWidth="1"/>
    <col min="74" max="76" width="14" style="1084" hidden="1" customWidth="1"/>
    <col min="77" max="77" width="9.42578125" style="1084" hidden="1" customWidth="1"/>
    <col min="78" max="79" width="0" style="1084" hidden="1" customWidth="1"/>
    <col min="80" max="80" width="9.42578125" style="1084" hidden="1" customWidth="1"/>
    <col min="81" max="81" width="13.85546875" style="1084" hidden="1" customWidth="1"/>
    <col min="82" max="16384" width="9.140625" style="1084"/>
  </cols>
  <sheetData>
    <row r="1" spans="1:50" ht="33.75" customHeight="1">
      <c r="A1" s="1083"/>
      <c r="B1" s="1083"/>
      <c r="C1" s="1083"/>
      <c r="D1" s="1083"/>
      <c r="E1" s="1083"/>
      <c r="F1" s="1083"/>
      <c r="G1" s="1083"/>
      <c r="H1" s="1083"/>
      <c r="I1" s="1339" t="s">
        <v>0</v>
      </c>
      <c r="J1" s="1340"/>
      <c r="K1" s="1340"/>
      <c r="L1" s="1083"/>
      <c r="M1" s="1083"/>
      <c r="N1" s="1083"/>
      <c r="O1" s="1083"/>
      <c r="P1" s="1083"/>
      <c r="Q1" s="1083"/>
      <c r="R1" s="1083"/>
      <c r="S1" s="1083"/>
      <c r="T1" s="1083"/>
      <c r="U1" s="1083"/>
      <c r="V1" s="1083"/>
      <c r="W1" s="1083"/>
      <c r="X1" s="1083"/>
      <c r="Y1" s="1083"/>
      <c r="Z1" s="1083"/>
      <c r="AA1" s="1083"/>
      <c r="AB1" s="1083"/>
      <c r="AC1" s="1083"/>
      <c r="AD1" s="1083"/>
      <c r="AE1" s="1083"/>
      <c r="AF1" s="1083"/>
      <c r="AG1" s="1341"/>
      <c r="AH1" s="1341"/>
      <c r="AI1" s="1341"/>
      <c r="AJ1" s="1341"/>
      <c r="AK1" s="1341"/>
      <c r="AL1" s="1341"/>
      <c r="AM1" s="1341"/>
      <c r="AN1" s="1341"/>
      <c r="AO1" s="1341"/>
      <c r="AP1" s="1341"/>
      <c r="AQ1" s="1341"/>
      <c r="AR1" s="1341"/>
      <c r="AS1" s="1341"/>
      <c r="AT1" s="1341"/>
      <c r="AU1" s="1341"/>
      <c r="AV1" s="1341"/>
      <c r="AW1" s="1341"/>
      <c r="AX1" s="1341"/>
    </row>
    <row r="2" spans="1:50">
      <c r="F2" s="1083" t="s">
        <v>2</v>
      </c>
      <c r="G2" s="1083"/>
      <c r="H2" s="1085" t="s">
        <v>1</v>
      </c>
    </row>
    <row r="3" spans="1:50">
      <c r="A3" s="1083"/>
      <c r="B3" s="1083"/>
      <c r="C3" s="1083"/>
      <c r="D3" s="1083"/>
      <c r="E3" s="1083"/>
      <c r="F3" s="1083" t="s">
        <v>4</v>
      </c>
      <c r="G3" s="1083"/>
      <c r="H3" s="1085" t="s">
        <v>191</v>
      </c>
      <c r="I3" s="1083"/>
      <c r="J3" s="1083"/>
      <c r="K3" s="1083"/>
      <c r="L3" s="1083"/>
      <c r="M3" s="1083"/>
      <c r="N3" s="1083"/>
      <c r="O3" s="1083"/>
      <c r="P3" s="1083"/>
      <c r="Q3" s="1083"/>
      <c r="R3" s="1083"/>
      <c r="S3" s="1083"/>
      <c r="T3" s="1083"/>
      <c r="U3" s="1083"/>
      <c r="V3" s="1083"/>
      <c r="W3" s="1083"/>
      <c r="X3" s="1083"/>
      <c r="Y3" s="1083"/>
      <c r="Z3" s="1083"/>
      <c r="AA3" s="1083"/>
      <c r="AB3" s="1083"/>
      <c r="AC3" s="1083"/>
      <c r="AD3" s="1083"/>
      <c r="AE3" s="1083"/>
      <c r="AF3" s="1083"/>
      <c r="AG3" s="1083"/>
      <c r="AH3" s="1083"/>
      <c r="AI3" s="1342"/>
      <c r="AJ3" s="1342"/>
      <c r="AK3" s="1342"/>
      <c r="AL3" s="1342"/>
      <c r="AM3" s="1342"/>
      <c r="AN3" s="1342"/>
      <c r="AO3" s="1342"/>
      <c r="AP3" s="1342"/>
      <c r="AQ3" s="1342"/>
      <c r="AR3" s="1342"/>
      <c r="AS3" s="1342"/>
      <c r="AT3" s="1342"/>
      <c r="AU3" s="1342"/>
      <c r="AV3" s="1342"/>
      <c r="AW3" s="1342"/>
      <c r="AX3" s="1342"/>
    </row>
    <row r="4" spans="1:50" ht="11.25" customHeight="1">
      <c r="A4" s="1083"/>
      <c r="B4" s="1083"/>
      <c r="C4" s="1083"/>
      <c r="D4" s="1083"/>
      <c r="E4" s="1083"/>
      <c r="F4" s="1083"/>
      <c r="G4" s="1083"/>
      <c r="H4" s="1083"/>
      <c r="I4" s="1083"/>
      <c r="J4" s="1083"/>
      <c r="K4" s="1083"/>
      <c r="L4" s="1083"/>
      <c r="M4" s="1083"/>
      <c r="N4" s="1083"/>
      <c r="O4" s="1083"/>
      <c r="P4" s="1083"/>
      <c r="Q4" s="1083"/>
      <c r="R4" s="1083"/>
      <c r="S4" s="1083"/>
      <c r="T4" s="1083"/>
      <c r="U4" s="1083"/>
      <c r="V4" s="1083"/>
      <c r="W4" s="1083"/>
      <c r="X4" s="1083"/>
      <c r="Y4" s="1083"/>
      <c r="Z4" s="1083"/>
      <c r="AA4" s="1083"/>
      <c r="AB4" s="1083"/>
      <c r="AC4" s="1083"/>
      <c r="AD4" s="1083"/>
      <c r="AE4" s="1083"/>
      <c r="AF4" s="1083"/>
      <c r="AG4" s="1083"/>
      <c r="AH4" s="1083"/>
      <c r="AI4" s="1342"/>
      <c r="AJ4" s="1342"/>
      <c r="AK4" s="1342"/>
      <c r="AL4" s="1342"/>
      <c r="AM4" s="1342"/>
      <c r="AN4" s="1342"/>
      <c r="AO4" s="1342"/>
      <c r="AP4" s="1342"/>
      <c r="AQ4" s="1342"/>
      <c r="AR4" s="1342"/>
      <c r="AS4" s="1342"/>
      <c r="AT4" s="1342"/>
      <c r="AU4" s="1342"/>
      <c r="AV4" s="1342"/>
      <c r="AW4" s="1342"/>
      <c r="AX4" s="1342"/>
    </row>
    <row r="5" spans="1:50" ht="17.25" customHeight="1">
      <c r="A5" s="1337" t="s">
        <v>8</v>
      </c>
      <c r="B5" s="1338"/>
      <c r="C5" s="1338"/>
      <c r="D5" s="1338"/>
      <c r="E5" s="1338"/>
      <c r="F5" s="1338"/>
      <c r="G5" s="1338"/>
      <c r="H5" s="1338"/>
      <c r="I5" s="1338"/>
      <c r="J5" s="1338"/>
      <c r="K5" s="1338"/>
    </row>
    <row r="6" spans="1:50" ht="15.75">
      <c r="A6" s="1337" t="s">
        <v>190</v>
      </c>
      <c r="B6" s="1338"/>
      <c r="C6" s="1338"/>
      <c r="D6" s="1338"/>
      <c r="E6" s="1338"/>
      <c r="F6" s="1338"/>
      <c r="G6" s="1338"/>
      <c r="H6" s="1338"/>
      <c r="I6" s="1338"/>
      <c r="J6" s="1338"/>
      <c r="K6" s="1338"/>
    </row>
    <row r="7" spans="1:50">
      <c r="A7" s="1086"/>
      <c r="B7" s="1086"/>
      <c r="C7" s="1087"/>
      <c r="D7" s="1087"/>
      <c r="E7" s="1087"/>
      <c r="F7" s="1087"/>
      <c r="G7" s="1087"/>
      <c r="H7" s="1087"/>
      <c r="I7" s="1086"/>
      <c r="J7" s="1086"/>
      <c r="K7" s="1086"/>
    </row>
    <row r="8" spans="1:50" ht="14.25" customHeight="1">
      <c r="A8" s="1086"/>
      <c r="B8" s="1086"/>
      <c r="C8" s="1087"/>
      <c r="D8" s="1087"/>
      <c r="E8" s="1345" t="s">
        <v>9</v>
      </c>
      <c r="F8" s="1345"/>
      <c r="G8" s="1345" t="s">
        <v>10</v>
      </c>
      <c r="H8" s="1345"/>
      <c r="I8" s="1086"/>
      <c r="J8" s="1086"/>
      <c r="K8" s="1086"/>
    </row>
    <row r="9" spans="1:50" ht="12" customHeight="1">
      <c r="B9" s="1088" t="s">
        <v>11</v>
      </c>
      <c r="C9" s="1087"/>
      <c r="D9" s="1087"/>
      <c r="E9" s="1345">
        <v>3</v>
      </c>
      <c r="F9" s="1345"/>
      <c r="G9" s="1346" t="s">
        <v>416</v>
      </c>
      <c r="H9" s="1345"/>
      <c r="I9" s="1086" t="s">
        <v>12</v>
      </c>
      <c r="J9" s="1086"/>
      <c r="K9" s="1086"/>
    </row>
    <row r="10" spans="1:50">
      <c r="A10" s="1086"/>
      <c r="B10" s="1086"/>
      <c r="C10" s="1087"/>
      <c r="D10" s="1087"/>
      <c r="E10" s="1087"/>
      <c r="F10" s="1087"/>
      <c r="G10" s="1087"/>
      <c r="H10" s="1087"/>
      <c r="I10" s="1087" t="s">
        <v>13</v>
      </c>
      <c r="J10" s="1087"/>
      <c r="K10" s="1087"/>
    </row>
    <row r="11" spans="1:50" ht="20.25" customHeight="1">
      <c r="A11" s="1087"/>
      <c r="B11" s="1089" t="s">
        <v>417</v>
      </c>
      <c r="C11" s="1087"/>
      <c r="D11" s="1087"/>
      <c r="E11" s="1087"/>
      <c r="F11" s="1087"/>
      <c r="G11" s="1087"/>
      <c r="H11" s="1087"/>
      <c r="I11" s="1087" t="s">
        <v>157</v>
      </c>
      <c r="J11" s="1090"/>
      <c r="K11" s="1087"/>
    </row>
    <row r="12" spans="1:50">
      <c r="A12" s="1087"/>
      <c r="B12" s="1087"/>
      <c r="C12" s="1087"/>
      <c r="D12" s="1087"/>
      <c r="E12" s="1087"/>
      <c r="F12" s="1087"/>
      <c r="G12" s="1087"/>
      <c r="H12" s="1087"/>
      <c r="I12" s="1087"/>
      <c r="J12" s="1090">
        <f>D98</f>
        <v>28.65</v>
      </c>
      <c r="K12" s="1087"/>
    </row>
    <row r="13" spans="1:50" s="1" customFormat="1" ht="15" customHeight="1">
      <c r="A13" s="190"/>
      <c r="B13" s="194" t="s">
        <v>118</v>
      </c>
      <c r="C13" s="190"/>
      <c r="D13" s="195">
        <v>34</v>
      </c>
      <c r="E13" s="189"/>
      <c r="F13" s="189"/>
      <c r="G13" s="189" t="s">
        <v>217</v>
      </c>
      <c r="H13" s="190"/>
      <c r="I13" s="190" t="s">
        <v>15</v>
      </c>
      <c r="J13" s="190"/>
      <c r="K13" s="190"/>
    </row>
    <row r="14" spans="1:50" s="1" customFormat="1" ht="17.25" customHeight="1">
      <c r="B14" s="196" t="s">
        <v>119</v>
      </c>
      <c r="D14" s="197">
        <v>8</v>
      </c>
      <c r="E14" s="198"/>
      <c r="F14" s="198"/>
      <c r="G14" s="198"/>
      <c r="K14" s="199" t="s">
        <v>16</v>
      </c>
    </row>
    <row r="15" spans="1:50" ht="19.5" customHeight="1">
      <c r="A15" s="1345" t="s">
        <v>17</v>
      </c>
      <c r="B15" s="1345" t="s">
        <v>18</v>
      </c>
      <c r="C15" s="1345" t="s">
        <v>19</v>
      </c>
      <c r="D15" s="1345" t="s">
        <v>20</v>
      </c>
      <c r="E15" s="1345" t="s">
        <v>21</v>
      </c>
      <c r="F15" s="1345" t="s">
        <v>5</v>
      </c>
      <c r="G15" s="1345" t="s">
        <v>6</v>
      </c>
      <c r="H15" s="1345"/>
      <c r="I15" s="1345" t="s">
        <v>7</v>
      </c>
      <c r="J15" s="1345" t="s">
        <v>22</v>
      </c>
      <c r="K15" s="1345" t="s">
        <v>415</v>
      </c>
      <c r="L15" s="1343" t="s">
        <v>23</v>
      </c>
    </row>
    <row r="16" spans="1:50" ht="45" customHeight="1">
      <c r="A16" s="1345"/>
      <c r="B16" s="1345"/>
      <c r="C16" s="1345"/>
      <c r="D16" s="1345"/>
      <c r="E16" s="1345"/>
      <c r="F16" s="1345"/>
      <c r="G16" s="1091" t="s">
        <v>24</v>
      </c>
      <c r="H16" s="1091" t="s">
        <v>123</v>
      </c>
      <c r="I16" s="1345"/>
      <c r="J16" s="1345"/>
      <c r="K16" s="1345"/>
      <c r="L16" s="1344"/>
    </row>
    <row r="17" spans="1:80" ht="12" customHeight="1">
      <c r="A17" s="1347"/>
      <c r="B17" s="1331"/>
      <c r="C17" s="1331"/>
      <c r="D17" s="1331"/>
      <c r="E17" s="1331"/>
      <c r="F17" s="1331"/>
      <c r="G17" s="1331"/>
      <c r="H17" s="1331"/>
      <c r="I17" s="1331"/>
      <c r="J17" s="1331"/>
      <c r="K17" s="1332"/>
      <c r="L17" s="1092"/>
    </row>
    <row r="18" spans="1:80" ht="22.5" customHeight="1">
      <c r="A18" s="1093"/>
      <c r="B18" s="1320" t="s">
        <v>58</v>
      </c>
      <c r="C18" s="1321"/>
      <c r="D18" s="1321"/>
      <c r="E18" s="1321"/>
      <c r="F18" s="1321"/>
      <c r="G18" s="1321"/>
      <c r="H18" s="1321"/>
      <c r="I18" s="1321"/>
      <c r="J18" s="1321"/>
      <c r="K18" s="1321"/>
      <c r="L18" s="1094"/>
    </row>
    <row r="19" spans="1:80" ht="19.5" customHeight="1">
      <c r="A19" s="1322" t="s">
        <v>59</v>
      </c>
      <c r="B19" s="1095" t="s">
        <v>60</v>
      </c>
      <c r="C19" s="955"/>
      <c r="D19" s="1096">
        <v>1</v>
      </c>
      <c r="E19" s="1097">
        <v>15942</v>
      </c>
      <c r="F19" s="1097">
        <f>D19*E19</f>
        <v>15942</v>
      </c>
      <c r="G19" s="1098">
        <f>F19*25%</f>
        <v>3985.5</v>
      </c>
      <c r="H19" s="1098">
        <v>797.1</v>
      </c>
      <c r="I19" s="1099">
        <f>(F19+G19+H19)*60%</f>
        <v>12434.759999999998</v>
      </c>
      <c r="J19" s="1099">
        <f>F19+G19+H19+I19</f>
        <v>33159.360000000001</v>
      </c>
      <c r="K19" s="1098">
        <f>J19*4</f>
        <v>132637.44</v>
      </c>
      <c r="L19" s="1100"/>
    </row>
    <row r="20" spans="1:80" ht="18" customHeight="1" thickBot="1">
      <c r="A20" s="1323"/>
      <c r="B20" s="1095" t="s">
        <v>61</v>
      </c>
      <c r="C20" s="955"/>
      <c r="D20" s="1101">
        <v>0.5</v>
      </c>
      <c r="E20" s="1097">
        <v>11159</v>
      </c>
      <c r="F20" s="1098">
        <f>D20*E20</f>
        <v>5579.5</v>
      </c>
      <c r="G20" s="1098">
        <f>F20*25%</f>
        <v>1394.875</v>
      </c>
      <c r="H20" s="1098"/>
      <c r="I20" s="1099">
        <f>(F20+G20+H20)*60%</f>
        <v>4184.625</v>
      </c>
      <c r="J20" s="1099">
        <f>F20+G20+H20+I20</f>
        <v>11159</v>
      </c>
      <c r="K20" s="1098">
        <f>J20*4</f>
        <v>44636</v>
      </c>
      <c r="L20" s="1100"/>
    </row>
    <row r="21" spans="1:80" ht="39" hidden="1" customHeight="1">
      <c r="A21" s="1333"/>
      <c r="B21" s="1095" t="s">
        <v>62</v>
      </c>
      <c r="C21" s="955"/>
      <c r="D21" s="1096"/>
      <c r="E21" s="1097"/>
      <c r="F21" s="1098"/>
      <c r="G21" s="1098"/>
      <c r="H21" s="1098"/>
      <c r="I21" s="1099">
        <f>(F21+G21+H21)*60%</f>
        <v>0</v>
      </c>
      <c r="J21" s="1099">
        <f>F21+G21+H21+I21</f>
        <v>0</v>
      </c>
      <c r="K21" s="1098">
        <f>J21*7</f>
        <v>0</v>
      </c>
      <c r="L21" s="1100"/>
    </row>
    <row r="22" spans="1:80" ht="30.75" hidden="1" customHeight="1" thickBot="1">
      <c r="A22" s="1333"/>
      <c r="B22" s="1095" t="s">
        <v>63</v>
      </c>
      <c r="C22" s="955"/>
      <c r="D22" s="1096"/>
      <c r="E22" s="1097"/>
      <c r="F22" s="1098"/>
      <c r="G22" s="1098"/>
      <c r="H22" s="1098"/>
      <c r="I22" s="1099">
        <f>(F22+G22+H22)*60%</f>
        <v>0</v>
      </c>
      <c r="J22" s="1099">
        <f>F22+G22+H22+I22</f>
        <v>0</v>
      </c>
      <c r="K22" s="1098">
        <f>J22*7</f>
        <v>0</v>
      </c>
      <c r="L22" s="1102"/>
    </row>
    <row r="23" spans="1:80" ht="18.75" customHeight="1" thickBot="1">
      <c r="A23" s="1333"/>
      <c r="B23" s="1103"/>
      <c r="C23" s="1104"/>
      <c r="D23" s="1105">
        <f t="shared" ref="D23:K23" si="0">SUM(D19:D22)</f>
        <v>1.5</v>
      </c>
      <c r="E23" s="1106">
        <f t="shared" si="0"/>
        <v>27101</v>
      </c>
      <c r="F23" s="1106">
        <f t="shared" si="0"/>
        <v>21521.5</v>
      </c>
      <c r="G23" s="1106">
        <f t="shared" si="0"/>
        <v>5380.375</v>
      </c>
      <c r="H23" s="1106">
        <f t="shared" si="0"/>
        <v>797.1</v>
      </c>
      <c r="I23" s="1106">
        <f t="shared" si="0"/>
        <v>16619.384999999998</v>
      </c>
      <c r="J23" s="1106">
        <f t="shared" si="0"/>
        <v>44318.36</v>
      </c>
      <c r="K23" s="1106">
        <f t="shared" si="0"/>
        <v>177273.44</v>
      </c>
      <c r="L23" s="1107"/>
    </row>
    <row r="24" spans="1:80" ht="27" customHeight="1" thickBot="1">
      <c r="A24" s="1323"/>
      <c r="B24" s="1108" t="s">
        <v>197</v>
      </c>
      <c r="C24" s="1109"/>
      <c r="D24" s="1109"/>
      <c r="E24" s="967"/>
      <c r="F24" s="967"/>
      <c r="G24" s="968"/>
      <c r="H24" s="968"/>
      <c r="I24" s="968"/>
      <c r="J24" s="968">
        <v>30472.556</v>
      </c>
      <c r="K24" s="1098">
        <f>J24*4</f>
        <v>121890.224</v>
      </c>
      <c r="L24" s="1110"/>
      <c r="CB24" s="1131">
        <f>J24*6</f>
        <v>182835.33600000001</v>
      </c>
    </row>
    <row r="25" spans="1:80" ht="30.75" customHeight="1" thickBot="1">
      <c r="A25" s="1333"/>
      <c r="B25" s="1111" t="s">
        <v>64</v>
      </c>
      <c r="C25" s="1104"/>
      <c r="D25" s="1112">
        <f t="shared" ref="D25:K25" si="1">D23+D24</f>
        <v>1.5</v>
      </c>
      <c r="E25" s="970">
        <f t="shared" si="1"/>
        <v>27101</v>
      </c>
      <c r="F25" s="970">
        <f t="shared" si="1"/>
        <v>21521.5</v>
      </c>
      <c r="G25" s="970">
        <f t="shared" si="1"/>
        <v>5380.375</v>
      </c>
      <c r="H25" s="970">
        <f t="shared" si="1"/>
        <v>797.1</v>
      </c>
      <c r="I25" s="970">
        <f t="shared" si="1"/>
        <v>16619.384999999998</v>
      </c>
      <c r="J25" s="970">
        <f t="shared" si="1"/>
        <v>74790.915999999997</v>
      </c>
      <c r="K25" s="970">
        <f t="shared" si="1"/>
        <v>299163.66399999999</v>
      </c>
      <c r="L25" s="1107"/>
    </row>
    <row r="26" spans="1:80" ht="27" hidden="1" customHeight="1">
      <c r="A26" s="1323" t="s">
        <v>32</v>
      </c>
      <c r="B26" s="1095" t="s">
        <v>65</v>
      </c>
      <c r="C26" s="955" t="s">
        <v>36</v>
      </c>
      <c r="D26" s="964"/>
      <c r="E26" s="956"/>
      <c r="F26" s="953"/>
      <c r="G26" s="953"/>
      <c r="H26" s="953"/>
      <c r="I26" s="954"/>
      <c r="J26" s="954"/>
      <c r="K26" s="953">
        <f>J26*7</f>
        <v>0</v>
      </c>
      <c r="L26" s="1100"/>
    </row>
    <row r="27" spans="1:80" ht="24.75" hidden="1" customHeight="1">
      <c r="A27" s="1323"/>
      <c r="B27" s="1095" t="s">
        <v>65</v>
      </c>
      <c r="C27" s="955"/>
      <c r="D27" s="964"/>
      <c r="E27" s="956"/>
      <c r="F27" s="953"/>
      <c r="G27" s="953"/>
      <c r="H27" s="953"/>
      <c r="I27" s="954"/>
      <c r="J27" s="954"/>
      <c r="K27" s="953">
        <f>J27*7</f>
        <v>0</v>
      </c>
      <c r="L27" s="1100"/>
    </row>
    <row r="28" spans="1:80" ht="13.5" hidden="1" customHeight="1">
      <c r="A28" s="1323"/>
      <c r="B28" s="1095" t="s">
        <v>105</v>
      </c>
      <c r="C28" s="955"/>
      <c r="D28" s="952"/>
      <c r="E28" s="956"/>
      <c r="F28" s="953"/>
      <c r="G28" s="953"/>
      <c r="H28" s="953"/>
      <c r="I28" s="954"/>
      <c r="J28" s="954"/>
      <c r="K28" s="953">
        <f>J28*7</f>
        <v>0</v>
      </c>
      <c r="L28" s="1100"/>
    </row>
    <row r="29" spans="1:80" ht="32.25" hidden="1" customHeight="1">
      <c r="A29" s="1323"/>
      <c r="B29" s="1095" t="s">
        <v>66</v>
      </c>
      <c r="C29" s="955" t="s">
        <v>36</v>
      </c>
      <c r="D29" s="952"/>
      <c r="E29" s="956"/>
      <c r="F29" s="953"/>
      <c r="G29" s="953"/>
      <c r="H29" s="953"/>
      <c r="I29" s="954">
        <f>(F29+G29+H29)*60%</f>
        <v>0</v>
      </c>
      <c r="J29" s="954">
        <f>F29+G29+H29+I29</f>
        <v>0</v>
      </c>
      <c r="K29" s="953">
        <f>J29*7</f>
        <v>0</v>
      </c>
      <c r="L29" s="1102"/>
    </row>
    <row r="30" spans="1:80" ht="37.5" hidden="1" customHeight="1" thickBot="1">
      <c r="A30" s="1323"/>
      <c r="B30" s="1113"/>
      <c r="C30" s="1113"/>
      <c r="D30" s="1113"/>
      <c r="E30" s="1113"/>
      <c r="F30" s="1113"/>
      <c r="G30" s="1113"/>
      <c r="H30" s="1113"/>
      <c r="I30" s="1113"/>
      <c r="J30" s="1113"/>
      <c r="K30" s="1113"/>
      <c r="L30" s="1102" t="e">
        <f>J29/D29/30</f>
        <v>#DIV/0!</v>
      </c>
    </row>
    <row r="31" spans="1:80" ht="17.25" hidden="1" customHeight="1" thickBot="1">
      <c r="A31" s="1333"/>
      <c r="B31" s="1114" t="s">
        <v>67</v>
      </c>
      <c r="C31" s="1115"/>
      <c r="D31" s="1112">
        <f t="shared" ref="D31:K31" si="2">SUM(D26:D29)</f>
        <v>0</v>
      </c>
      <c r="E31" s="970">
        <f t="shared" si="2"/>
        <v>0</v>
      </c>
      <c r="F31" s="970">
        <f t="shared" si="2"/>
        <v>0</v>
      </c>
      <c r="G31" s="970">
        <f t="shared" si="2"/>
        <v>0</v>
      </c>
      <c r="H31" s="970">
        <f t="shared" si="2"/>
        <v>0</v>
      </c>
      <c r="I31" s="970">
        <f t="shared" si="2"/>
        <v>0</v>
      </c>
      <c r="J31" s="970">
        <f t="shared" si="2"/>
        <v>0</v>
      </c>
      <c r="K31" s="1116">
        <f t="shared" si="2"/>
        <v>0</v>
      </c>
      <c r="L31" s="1117"/>
    </row>
    <row r="32" spans="1:80" ht="30" hidden="1" customHeight="1" thickBot="1">
      <c r="A32" s="1323"/>
      <c r="B32" s="1108" t="s">
        <v>56</v>
      </c>
      <c r="C32" s="1109"/>
      <c r="D32" s="1118"/>
      <c r="E32" s="967"/>
      <c r="F32" s="968"/>
      <c r="G32" s="968"/>
      <c r="H32" s="968"/>
      <c r="I32" s="1119"/>
      <c r="J32" s="1120"/>
      <c r="K32" s="953">
        <f>J32*7</f>
        <v>0</v>
      </c>
      <c r="L32" s="1110"/>
      <c r="M32" s="1121"/>
    </row>
    <row r="33" spans="1:77" ht="24.75" hidden="1" customHeight="1" thickBot="1">
      <c r="A33" s="1333"/>
      <c r="B33" s="1111" t="s">
        <v>101</v>
      </c>
      <c r="C33" s="1115"/>
      <c r="D33" s="1112">
        <f t="shared" ref="D33:K33" si="3">SUM(D31:D32)</f>
        <v>0</v>
      </c>
      <c r="E33" s="970">
        <f t="shared" si="3"/>
        <v>0</v>
      </c>
      <c r="F33" s="970">
        <f t="shared" si="3"/>
        <v>0</v>
      </c>
      <c r="G33" s="970">
        <f t="shared" si="3"/>
        <v>0</v>
      </c>
      <c r="H33" s="970">
        <f t="shared" si="3"/>
        <v>0</v>
      </c>
      <c r="I33" s="970">
        <f t="shared" si="3"/>
        <v>0</v>
      </c>
      <c r="J33" s="970">
        <f t="shared" si="3"/>
        <v>0</v>
      </c>
      <c r="K33" s="970">
        <f t="shared" si="3"/>
        <v>0</v>
      </c>
      <c r="L33" s="1107"/>
    </row>
    <row r="34" spans="1:77" ht="27.75" hidden="1" customHeight="1">
      <c r="A34" s="1322" t="s">
        <v>69</v>
      </c>
      <c r="B34" s="1122" t="s">
        <v>70</v>
      </c>
      <c r="C34" s="1334" t="s">
        <v>71</v>
      </c>
      <c r="D34" s="1123"/>
      <c r="E34" s="1124"/>
      <c r="F34" s="1125"/>
      <c r="G34" s="1126"/>
      <c r="H34" s="1126"/>
      <c r="I34" s="1127"/>
      <c r="J34" s="1128">
        <f>F34+G34+H34+I34</f>
        <v>0</v>
      </c>
      <c r="K34" s="1129">
        <f>J34*7</f>
        <v>0</v>
      </c>
      <c r="L34" s="1130" t="e">
        <f>K34/D34/247</f>
        <v>#DIV/0!</v>
      </c>
      <c r="AT34" s="1084">
        <v>9704</v>
      </c>
      <c r="AU34" s="1131" t="e">
        <f>AT34-#REF!</f>
        <v>#REF!</v>
      </c>
    </row>
    <row r="35" spans="1:77" ht="18.75" hidden="1" customHeight="1">
      <c r="A35" s="1323"/>
      <c r="B35" s="1095" t="s">
        <v>121</v>
      </c>
      <c r="C35" s="1316"/>
      <c r="D35" s="1132"/>
      <c r="E35" s="1133"/>
      <c r="F35" s="1134"/>
      <c r="G35" s="1129"/>
      <c r="H35" s="1129"/>
      <c r="I35" s="1135"/>
      <c r="J35" s="1136">
        <f>F35+G35+H35+I35</f>
        <v>0</v>
      </c>
      <c r="K35" s="1129">
        <f t="shared" ref="K35:K41" si="4">J35*7</f>
        <v>0</v>
      </c>
      <c r="L35" s="1100" t="e">
        <f>K35/D35/247</f>
        <v>#DIV/0!</v>
      </c>
      <c r="AT35" s="1084">
        <v>19408</v>
      </c>
      <c r="AU35" s="1131" t="e">
        <f>AT35-#REF!</f>
        <v>#REF!</v>
      </c>
    </row>
    <row r="36" spans="1:77" ht="33" hidden="1" customHeight="1">
      <c r="A36" s="1323"/>
      <c r="B36" s="1137" t="s">
        <v>73</v>
      </c>
      <c r="C36" s="1316"/>
      <c r="D36" s="1138"/>
      <c r="E36" s="1133"/>
      <c r="F36" s="1134"/>
      <c r="G36" s="1129"/>
      <c r="H36" s="1129"/>
      <c r="I36" s="1129"/>
      <c r="J36" s="1139">
        <v>0</v>
      </c>
      <c r="K36" s="1129">
        <f t="shared" si="4"/>
        <v>0</v>
      </c>
      <c r="L36" s="1100" t="e">
        <f>K36/D36/247</f>
        <v>#DIV/0!</v>
      </c>
      <c r="AU36" s="1131" t="e">
        <f>AT36-#REF!</f>
        <v>#REF!</v>
      </c>
    </row>
    <row r="37" spans="1:77" ht="17.25" hidden="1" customHeight="1">
      <c r="A37" s="1323"/>
      <c r="B37" s="1095" t="s">
        <v>74</v>
      </c>
      <c r="C37" s="1316"/>
      <c r="D37" s="1138"/>
      <c r="E37" s="1133"/>
      <c r="F37" s="1134"/>
      <c r="G37" s="1129"/>
      <c r="H37" s="1129"/>
      <c r="I37" s="1135"/>
      <c r="J37" s="1136">
        <f>F37+G37+H37+I37</f>
        <v>0</v>
      </c>
      <c r="K37" s="1129">
        <f t="shared" si="4"/>
        <v>0</v>
      </c>
      <c r="L37" s="1100" t="e">
        <f>K37/D37/247</f>
        <v>#DIV/0!</v>
      </c>
      <c r="AU37" s="1131" t="e">
        <f>AT37-#REF!</f>
        <v>#REF!</v>
      </c>
    </row>
    <row r="38" spans="1:77" ht="24" customHeight="1">
      <c r="A38" s="1323"/>
      <c r="B38" s="1095" t="s">
        <v>75</v>
      </c>
      <c r="C38" s="955" t="s">
        <v>76</v>
      </c>
      <c r="D38" s="1138">
        <v>0.2</v>
      </c>
      <c r="E38" s="1133">
        <v>4498</v>
      </c>
      <c r="F38" s="1098">
        <f>D38*E38</f>
        <v>899.6</v>
      </c>
      <c r="G38" s="1098">
        <f>F38*25%</f>
        <v>224.9</v>
      </c>
      <c r="H38" s="1098"/>
      <c r="I38" s="1099">
        <f>(F38+G38+H38)*60%</f>
        <v>674.69999999999993</v>
      </c>
      <c r="J38" s="1099">
        <f>F38+G38+H38+I38</f>
        <v>1799.1999999999998</v>
      </c>
      <c r="K38" s="1098">
        <f t="shared" ref="K38:K40" si="5">J38*4</f>
        <v>7196.7999999999993</v>
      </c>
      <c r="L38" s="1100">
        <f>K38/D38/247</f>
        <v>145.68421052631575</v>
      </c>
      <c r="M38" s="1140"/>
      <c r="N38" s="1140">
        <f>21184-J38-M38</f>
        <v>19384.8</v>
      </c>
      <c r="O38" s="1140">
        <f>J38+M38+N38</f>
        <v>21184</v>
      </c>
      <c r="AT38" s="1084">
        <v>19408</v>
      </c>
      <c r="AU38" s="1131" t="e">
        <f>AT38-#REF!</f>
        <v>#REF!</v>
      </c>
    </row>
    <row r="39" spans="1:77" ht="27.75" hidden="1" customHeight="1">
      <c r="A39" s="1323"/>
      <c r="B39" s="1095" t="s">
        <v>106</v>
      </c>
      <c r="C39" s="955"/>
      <c r="D39" s="1141"/>
      <c r="E39" s="1141"/>
      <c r="F39" s="1141"/>
      <c r="G39" s="1141"/>
      <c r="H39" s="1141"/>
      <c r="I39" s="1142"/>
      <c r="J39" s="1099">
        <f>F39+G39+H39+I39</f>
        <v>0</v>
      </c>
      <c r="K39" s="1098">
        <f t="shared" si="5"/>
        <v>0</v>
      </c>
      <c r="L39" s="1100"/>
      <c r="M39" s="1140"/>
      <c r="N39" s="1140">
        <f>21184-J39-M39</f>
        <v>21184</v>
      </c>
      <c r="O39" s="1140">
        <f>J39+M39+N39</f>
        <v>21184</v>
      </c>
      <c r="AT39" s="1084">
        <v>38816</v>
      </c>
      <c r="AU39" s="1131" t="e">
        <f>AT39-#REF!</f>
        <v>#REF!</v>
      </c>
    </row>
    <row r="40" spans="1:77" ht="33" customHeight="1" thickBot="1">
      <c r="A40" s="1323"/>
      <c r="B40" s="1095" t="s">
        <v>110</v>
      </c>
      <c r="C40" s="955"/>
      <c r="D40" s="1138">
        <v>0.3</v>
      </c>
      <c r="E40" s="1133">
        <v>6854</v>
      </c>
      <c r="F40" s="1098">
        <f>D40*E40</f>
        <v>2056.1999999999998</v>
      </c>
      <c r="G40" s="1098">
        <f>F40*25%</f>
        <v>514.04999999999995</v>
      </c>
      <c r="H40" s="1098"/>
      <c r="I40" s="1099">
        <f>(F40+G40+H40)*60%</f>
        <v>1542.1499999999999</v>
      </c>
      <c r="J40" s="1099">
        <f>F40+G40+H40+I40</f>
        <v>4112.3999999999996</v>
      </c>
      <c r="K40" s="1098">
        <f t="shared" si="5"/>
        <v>16449.599999999999</v>
      </c>
      <c r="L40" s="1143"/>
      <c r="AU40" s="1131" t="e">
        <f>AT40-#REF!</f>
        <v>#REF!</v>
      </c>
    </row>
    <row r="41" spans="1:77" ht="24.75" hidden="1" customHeight="1">
      <c r="A41" s="1323"/>
      <c r="B41" s="1137" t="s">
        <v>122</v>
      </c>
      <c r="C41" s="1144"/>
      <c r="D41" s="1145"/>
      <c r="E41" s="1146"/>
      <c r="F41" s="1147"/>
      <c r="G41" s="1148"/>
      <c r="H41" s="1148"/>
      <c r="I41" s="1142"/>
      <c r="J41" s="1099">
        <f>F41+G41+H41+I41</f>
        <v>0</v>
      </c>
      <c r="K41" s="1129">
        <f t="shared" si="4"/>
        <v>0</v>
      </c>
      <c r="L41" s="1113"/>
      <c r="N41" s="1140">
        <f>SUM(N38:N40)</f>
        <v>40568.800000000003</v>
      </c>
      <c r="AU41" s="1131"/>
    </row>
    <row r="42" spans="1:77" ht="24.75" hidden="1" customHeight="1">
      <c r="A42" s="1149"/>
      <c r="B42" s="1150"/>
      <c r="C42" s="1109"/>
      <c r="D42" s="1151"/>
      <c r="E42" s="1152"/>
      <c r="F42" s="1153"/>
      <c r="G42" s="1154"/>
      <c r="H42" s="1154"/>
      <c r="I42" s="1155"/>
      <c r="J42" s="1156"/>
      <c r="K42" s="1154"/>
      <c r="L42" s="1157"/>
      <c r="N42" s="1140"/>
      <c r="AU42" s="1131"/>
    </row>
    <row r="43" spans="1:77" ht="24.75" hidden="1" customHeight="1" thickBot="1">
      <c r="A43" s="1149"/>
      <c r="B43" s="1150"/>
      <c r="C43" s="1109"/>
      <c r="D43" s="1151"/>
      <c r="E43" s="1152"/>
      <c r="F43" s="1153"/>
      <c r="G43" s="1154"/>
      <c r="H43" s="1154"/>
      <c r="I43" s="1155"/>
      <c r="J43" s="1156"/>
      <c r="K43" s="1154"/>
      <c r="L43" s="1157"/>
      <c r="N43" s="1140"/>
      <c r="AU43" s="1131"/>
    </row>
    <row r="44" spans="1:77" ht="21.75" customHeight="1" thickBot="1">
      <c r="A44" s="1149"/>
      <c r="B44" s="1103" t="s">
        <v>67</v>
      </c>
      <c r="C44" s="1104"/>
      <c r="D44" s="1158">
        <f t="shared" ref="D44:K44" si="6">SUM(D34:D41)</f>
        <v>0.5</v>
      </c>
      <c r="E44" s="1158">
        <f t="shared" si="6"/>
        <v>11352</v>
      </c>
      <c r="F44" s="1158">
        <f t="shared" si="6"/>
        <v>2955.7999999999997</v>
      </c>
      <c r="G44" s="1158">
        <f t="shared" si="6"/>
        <v>738.94999999999993</v>
      </c>
      <c r="H44" s="1158">
        <f t="shared" si="6"/>
        <v>0</v>
      </c>
      <c r="I44" s="1158">
        <f t="shared" si="6"/>
        <v>2216.85</v>
      </c>
      <c r="J44" s="1158">
        <f t="shared" si="6"/>
        <v>5911.5999999999995</v>
      </c>
      <c r="K44" s="1158">
        <f t="shared" si="6"/>
        <v>23646.399999999998</v>
      </c>
      <c r="L44" s="1159"/>
      <c r="AU44" s="1131" t="e">
        <f>SUM(AU34:AU41)</f>
        <v>#REF!</v>
      </c>
    </row>
    <row r="45" spans="1:77" ht="28.5" customHeight="1">
      <c r="A45" s="1149"/>
      <c r="B45" s="1160" t="s">
        <v>155</v>
      </c>
      <c r="C45" s="1161"/>
      <c r="D45" s="1162"/>
      <c r="E45" s="1163"/>
      <c r="F45" s="1164"/>
      <c r="G45" s="1165"/>
      <c r="H45" s="1165"/>
      <c r="I45" s="1165"/>
      <c r="J45" s="1165">
        <f>J44*15%</f>
        <v>886.7399999999999</v>
      </c>
      <c r="K45" s="1098">
        <f t="shared" ref="K45:K46" si="7">J45*4</f>
        <v>3546.9599999999996</v>
      </c>
      <c r="L45" s="1143"/>
    </row>
    <row r="46" spans="1:77" ht="39" customHeight="1" thickBot="1">
      <c r="A46" s="1149"/>
      <c r="B46" s="1166" t="s">
        <v>78</v>
      </c>
      <c r="C46" s="1144"/>
      <c r="D46" s="1167"/>
      <c r="E46" s="1168"/>
      <c r="F46" s="1169"/>
      <c r="G46" s="1170"/>
      <c r="H46" s="1170"/>
      <c r="I46" s="1170"/>
      <c r="J46" s="1170">
        <v>6195.66</v>
      </c>
      <c r="K46" s="1098">
        <f t="shared" si="7"/>
        <v>24782.639999999999</v>
      </c>
      <c r="L46" s="1113"/>
    </row>
    <row r="47" spans="1:77" s="1176" customFormat="1" ht="20.25" customHeight="1" thickBot="1">
      <c r="A47" s="1171"/>
      <c r="B47" s="1172" t="s">
        <v>79</v>
      </c>
      <c r="C47" s="1173"/>
      <c r="D47" s="1174">
        <f t="shared" ref="D47:K47" si="8">D44+D45+D46</f>
        <v>0.5</v>
      </c>
      <c r="E47" s="1174">
        <f t="shared" si="8"/>
        <v>11352</v>
      </c>
      <c r="F47" s="1174">
        <f t="shared" si="8"/>
        <v>2955.7999999999997</v>
      </c>
      <c r="G47" s="1174">
        <f t="shared" si="8"/>
        <v>738.94999999999993</v>
      </c>
      <c r="H47" s="1174">
        <f t="shared" si="8"/>
        <v>0</v>
      </c>
      <c r="I47" s="1174">
        <f t="shared" si="8"/>
        <v>2216.85</v>
      </c>
      <c r="J47" s="1174">
        <f t="shared" si="8"/>
        <v>12994</v>
      </c>
      <c r="K47" s="1174">
        <f t="shared" si="8"/>
        <v>51976</v>
      </c>
      <c r="L47" s="1175"/>
      <c r="BX47" s="1176" t="s">
        <v>414</v>
      </c>
    </row>
    <row r="48" spans="1:77" ht="48.75" customHeight="1" thickBot="1">
      <c r="A48" s="1177"/>
      <c r="B48" s="1178" t="s">
        <v>102</v>
      </c>
      <c r="C48" s="1179" t="s">
        <v>100</v>
      </c>
      <c r="D48" s="1158">
        <f t="shared" ref="D48:K48" si="9">D25+D33+D47</f>
        <v>2</v>
      </c>
      <c r="E48" s="1158">
        <f t="shared" si="9"/>
        <v>38453</v>
      </c>
      <c r="F48" s="1158">
        <f t="shared" si="9"/>
        <v>24477.3</v>
      </c>
      <c r="G48" s="1158">
        <f t="shared" si="9"/>
        <v>6119.3249999999998</v>
      </c>
      <c r="H48" s="1158">
        <f t="shared" si="9"/>
        <v>797.1</v>
      </c>
      <c r="I48" s="1158">
        <f t="shared" si="9"/>
        <v>18836.234999999997</v>
      </c>
      <c r="J48" s="1158">
        <f>J25+J33+J47</f>
        <v>87784.915999999997</v>
      </c>
      <c r="K48" s="1158">
        <f t="shared" si="9"/>
        <v>351139.66399999999</v>
      </c>
      <c r="L48" s="1107"/>
      <c r="BP48" s="1180">
        <v>989446.08</v>
      </c>
      <c r="BQ48" s="1181">
        <f>K48-BP48</f>
        <v>-638306.41599999997</v>
      </c>
      <c r="BX48" s="1180">
        <v>1053419</v>
      </c>
      <c r="BY48" s="1131">
        <f>BX48/12*6</f>
        <v>526709.5</v>
      </c>
    </row>
    <row r="49" spans="1:72" ht="18.75" customHeight="1">
      <c r="A49" s="1320" t="s">
        <v>26</v>
      </c>
      <c r="B49" s="1321"/>
      <c r="C49" s="1321"/>
      <c r="D49" s="1321"/>
      <c r="E49" s="1321"/>
      <c r="F49" s="1321"/>
      <c r="G49" s="1321"/>
      <c r="H49" s="1321"/>
      <c r="I49" s="1321"/>
      <c r="J49" s="1321"/>
      <c r="K49" s="1321"/>
      <c r="L49" s="1094"/>
    </row>
    <row r="50" spans="1:72" ht="26.25" customHeight="1">
      <c r="A50" s="1322" t="s">
        <v>27</v>
      </c>
      <c r="B50" s="1095" t="s">
        <v>129</v>
      </c>
      <c r="C50" s="955" t="s">
        <v>29</v>
      </c>
      <c r="D50" s="1182">
        <v>11.33</v>
      </c>
      <c r="E50" s="1183">
        <v>9505</v>
      </c>
      <c r="F50" s="1183">
        <v>122456.08</v>
      </c>
      <c r="G50" s="1183">
        <v>26930.83</v>
      </c>
      <c r="H50" s="1183">
        <v>53333.66</v>
      </c>
      <c r="I50" s="1099">
        <f t="shared" ref="I50:I68" si="10">(F50+G50+H50)*60%</f>
        <v>121632.342</v>
      </c>
      <c r="J50" s="1099">
        <f t="shared" ref="J50:J71" si="11">F50+G50+H50+I50</f>
        <v>324352.91200000001</v>
      </c>
      <c r="K50" s="1098">
        <f t="shared" ref="K50:K67" si="12">J50*4</f>
        <v>1297411.648</v>
      </c>
      <c r="L50" s="1100" t="e">
        <f>((J50+J51+#REF!)/(4.3*1093))</f>
        <v>#REF!</v>
      </c>
      <c r="M50" s="1131"/>
      <c r="N50" s="1131"/>
      <c r="O50" s="1140"/>
      <c r="AU50" s="1140">
        <f>J50+J51</f>
        <v>383081.31200000003</v>
      </c>
      <c r="BO50" s="1121">
        <f>D50+D51</f>
        <v>14</v>
      </c>
    </row>
    <row r="51" spans="1:72" ht="28.5" customHeight="1">
      <c r="A51" s="1322"/>
      <c r="B51" s="1095" t="s">
        <v>130</v>
      </c>
      <c r="C51" s="955" t="s">
        <v>29</v>
      </c>
      <c r="D51" s="1182">
        <v>2.67</v>
      </c>
      <c r="E51" s="1183">
        <v>8341</v>
      </c>
      <c r="F51" s="1183">
        <v>22242.67</v>
      </c>
      <c r="G51" s="1183">
        <v>5560.67</v>
      </c>
      <c r="H51" s="1183">
        <v>8901.91</v>
      </c>
      <c r="I51" s="1099">
        <f t="shared" si="10"/>
        <v>22023.149999999998</v>
      </c>
      <c r="J51" s="1099">
        <f t="shared" si="11"/>
        <v>58728.399999999994</v>
      </c>
      <c r="K51" s="1098">
        <f t="shared" si="12"/>
        <v>234913.59999999998</v>
      </c>
      <c r="L51" s="1143"/>
      <c r="M51" s="1140"/>
      <c r="BF51" s="1140">
        <f>J50+J51</f>
        <v>383081.31200000003</v>
      </c>
    </row>
    <row r="52" spans="1:72" ht="46.5" hidden="1" customHeight="1">
      <c r="A52" s="1184"/>
      <c r="B52" s="1095" t="s">
        <v>359</v>
      </c>
      <c r="C52" s="955"/>
      <c r="D52" s="1182"/>
      <c r="E52" s="1183"/>
      <c r="F52" s="1183"/>
      <c r="G52" s="1183"/>
      <c r="H52" s="1183"/>
      <c r="I52" s="1099">
        <f t="shared" ref="I52:I54" si="13">(F52+G52+H52)*60%</f>
        <v>0</v>
      </c>
      <c r="J52" s="1099">
        <f t="shared" ref="J52:J54" si="14">F52+G52+H52+I52</f>
        <v>0</v>
      </c>
      <c r="K52" s="1098">
        <f t="shared" si="12"/>
        <v>0</v>
      </c>
      <c r="L52" s="1143"/>
      <c r="M52" s="1140"/>
      <c r="BF52" s="1140"/>
    </row>
    <row r="53" spans="1:72" ht="48.75" hidden="1" customHeight="1">
      <c r="A53" s="1184"/>
      <c r="B53" s="1095" t="s">
        <v>359</v>
      </c>
      <c r="C53" s="955"/>
      <c r="D53" s="1182"/>
      <c r="E53" s="1183"/>
      <c r="F53" s="1183"/>
      <c r="G53" s="1183"/>
      <c r="H53" s="1183"/>
      <c r="I53" s="1099">
        <f t="shared" si="13"/>
        <v>0</v>
      </c>
      <c r="J53" s="1099">
        <f t="shared" si="14"/>
        <v>0</v>
      </c>
      <c r="K53" s="1098">
        <f t="shared" si="12"/>
        <v>0</v>
      </c>
      <c r="L53" s="1143"/>
      <c r="M53" s="1140"/>
      <c r="BF53" s="1140"/>
    </row>
    <row r="54" spans="1:72" ht="36" customHeight="1">
      <c r="B54" s="1095" t="s">
        <v>360</v>
      </c>
      <c r="C54" s="1095"/>
      <c r="D54" s="964">
        <v>3.89</v>
      </c>
      <c r="E54" s="1182">
        <v>9505</v>
      </c>
      <c r="F54" s="1183">
        <v>41716.39</v>
      </c>
      <c r="G54" s="1183">
        <v>16633.75</v>
      </c>
      <c r="H54" s="1183">
        <v>7815.22</v>
      </c>
      <c r="I54" s="1099">
        <f t="shared" si="13"/>
        <v>39699.216</v>
      </c>
      <c r="J54" s="1099">
        <f t="shared" si="14"/>
        <v>105864.576</v>
      </c>
      <c r="K54" s="1098">
        <f t="shared" si="12"/>
        <v>423458.304</v>
      </c>
      <c r="L54" s="1098"/>
      <c r="M54" s="1143"/>
      <c r="N54" s="1140"/>
      <c r="BG54" s="1140"/>
    </row>
    <row r="55" spans="1:72" ht="36.75" hidden="1" customHeight="1">
      <c r="B55" s="1095" t="s">
        <v>360</v>
      </c>
      <c r="C55" s="1095"/>
      <c r="D55" s="955"/>
      <c r="E55" s="1182"/>
      <c r="F55" s="1183"/>
      <c r="G55" s="1183"/>
      <c r="H55" s="1183"/>
      <c r="I55" s="1183"/>
      <c r="J55" s="1099"/>
      <c r="K55" s="1098">
        <f t="shared" si="12"/>
        <v>0</v>
      </c>
      <c r="L55" s="1098"/>
      <c r="M55" s="1143"/>
      <c r="N55" s="1140"/>
      <c r="BG55" s="1140"/>
    </row>
    <row r="56" spans="1:72" ht="30" customHeight="1">
      <c r="A56" s="1322" t="s">
        <v>32</v>
      </c>
      <c r="B56" s="1095" t="s">
        <v>33</v>
      </c>
      <c r="C56" s="955" t="s">
        <v>34</v>
      </c>
      <c r="D56" s="1185">
        <v>0.4</v>
      </c>
      <c r="E56" s="1099">
        <v>6959</v>
      </c>
      <c r="F56" s="1099">
        <f>E56*D56</f>
        <v>2783.6000000000004</v>
      </c>
      <c r="G56" s="1183">
        <v>695.9</v>
      </c>
      <c r="H56" s="1099">
        <v>139.18</v>
      </c>
      <c r="I56" s="1099">
        <f t="shared" si="10"/>
        <v>2171.2080000000001</v>
      </c>
      <c r="J56" s="1099">
        <f t="shared" si="11"/>
        <v>5789.8880000000008</v>
      </c>
      <c r="K56" s="1098">
        <f t="shared" si="12"/>
        <v>23159.552000000003</v>
      </c>
      <c r="L56" s="1186">
        <f>J56/36</f>
        <v>160.83022222222223</v>
      </c>
      <c r="AU56" s="1140">
        <f>J56+J57+J58+J59+J60+J61+J67+J68+J69+J70+J71+J72+J73</f>
        <v>22970.847999999998</v>
      </c>
      <c r="BF56" s="1181">
        <f>J56+J57+J67+J68</f>
        <v>22970.847999999998</v>
      </c>
    </row>
    <row r="57" spans="1:72" ht="36.75" customHeight="1">
      <c r="A57" s="1322"/>
      <c r="B57" s="1095" t="s">
        <v>35</v>
      </c>
      <c r="C57" s="955" t="s">
        <v>36</v>
      </c>
      <c r="D57" s="1185">
        <v>0.4</v>
      </c>
      <c r="E57" s="1099">
        <v>8683</v>
      </c>
      <c r="F57" s="1099">
        <v>3473.2</v>
      </c>
      <c r="G57" s="1099">
        <v>868.3</v>
      </c>
      <c r="H57" s="1099">
        <v>520.98</v>
      </c>
      <c r="I57" s="1099">
        <f t="shared" si="10"/>
        <v>2917.4879999999998</v>
      </c>
      <c r="J57" s="1099">
        <f t="shared" si="11"/>
        <v>7779.9679999999989</v>
      </c>
      <c r="K57" s="1098">
        <f t="shared" si="12"/>
        <v>31119.871999999996</v>
      </c>
      <c r="L57" s="1186">
        <f>J57/36</f>
        <v>216.11022222222221</v>
      </c>
      <c r="BF57" s="1181">
        <f>J62+J63</f>
        <v>12709.791999999998</v>
      </c>
      <c r="BP57" s="1180">
        <v>6431843.6900000004</v>
      </c>
      <c r="BQ57" s="1140">
        <f>J67+J57+J56+J54++J51+J50</f>
        <v>508446.88</v>
      </c>
      <c r="BR57" s="1181">
        <f>BQ57*12</f>
        <v>6101362.5600000005</v>
      </c>
      <c r="BS57" s="1181">
        <f>BP57-BR57</f>
        <v>330481.12999999989</v>
      </c>
      <c r="BT57" s="1181">
        <f>BS57/12</f>
        <v>27540.094166666659</v>
      </c>
    </row>
    <row r="58" spans="1:72" ht="32.25" hidden="1" customHeight="1">
      <c r="A58" s="1322"/>
      <c r="B58" s="1095" t="s">
        <v>37</v>
      </c>
      <c r="C58" s="955" t="s">
        <v>29</v>
      </c>
      <c r="D58" s="1185"/>
      <c r="E58" s="1099"/>
      <c r="F58" s="1099"/>
      <c r="G58" s="1099"/>
      <c r="H58" s="1099"/>
      <c r="I58" s="1099">
        <f t="shared" si="10"/>
        <v>0</v>
      </c>
      <c r="J58" s="1099">
        <f t="shared" si="11"/>
        <v>0</v>
      </c>
      <c r="K58" s="1098">
        <f t="shared" si="12"/>
        <v>0</v>
      </c>
      <c r="L58" s="1186" t="e">
        <f>J58/D58/36</f>
        <v>#DIV/0!</v>
      </c>
      <c r="BR58" s="1181">
        <f t="shared" ref="BR58:BR63" si="15">BQ58*12</f>
        <v>0</v>
      </c>
    </row>
    <row r="59" spans="1:72" ht="31.5" hidden="1" customHeight="1">
      <c r="A59" s="1322"/>
      <c r="B59" s="1095" t="s">
        <v>38</v>
      </c>
      <c r="C59" s="955" t="s">
        <v>29</v>
      </c>
      <c r="D59" s="1101"/>
      <c r="E59" s="1099"/>
      <c r="F59" s="1099"/>
      <c r="G59" s="1099"/>
      <c r="H59" s="1099"/>
      <c r="I59" s="1099"/>
      <c r="J59" s="1099"/>
      <c r="K59" s="1098">
        <f t="shared" si="12"/>
        <v>0</v>
      </c>
      <c r="L59" s="1186" t="e">
        <f>J59/D59/36</f>
        <v>#DIV/0!</v>
      </c>
      <c r="R59" s="1187"/>
      <c r="BR59" s="1181">
        <f t="shared" si="15"/>
        <v>0</v>
      </c>
    </row>
    <row r="60" spans="1:72" ht="24" hidden="1" customHeight="1">
      <c r="A60" s="1322"/>
      <c r="B60" s="1095" t="s">
        <v>39</v>
      </c>
      <c r="C60" s="955" t="s">
        <v>29</v>
      </c>
      <c r="D60" s="1185"/>
      <c r="E60" s="1099"/>
      <c r="F60" s="1099"/>
      <c r="G60" s="1099"/>
      <c r="H60" s="1099"/>
      <c r="I60" s="1099"/>
      <c r="J60" s="1099">
        <f t="shared" si="11"/>
        <v>0</v>
      </c>
      <c r="K60" s="1098">
        <f t="shared" si="12"/>
        <v>0</v>
      </c>
      <c r="L60" s="1186" t="e">
        <f>J60/D60/36</f>
        <v>#DIV/0!</v>
      </c>
      <c r="BR60" s="1181">
        <f t="shared" si="15"/>
        <v>0</v>
      </c>
    </row>
    <row r="61" spans="1:72" ht="24" hidden="1" customHeight="1">
      <c r="A61" s="1323"/>
      <c r="B61" s="1095" t="s">
        <v>40</v>
      </c>
      <c r="C61" s="955" t="s">
        <v>29</v>
      </c>
      <c r="D61" s="1185"/>
      <c r="E61" s="1099"/>
      <c r="F61" s="1099"/>
      <c r="G61" s="1099"/>
      <c r="H61" s="1099"/>
      <c r="I61" s="1099"/>
      <c r="J61" s="1099"/>
      <c r="K61" s="1098">
        <f t="shared" si="12"/>
        <v>0</v>
      </c>
      <c r="L61" s="1186" t="e">
        <f>J61/D61/20</f>
        <v>#DIV/0!</v>
      </c>
      <c r="M61" s="1121"/>
      <c r="BR61" s="1181">
        <f t="shared" si="15"/>
        <v>0</v>
      </c>
    </row>
    <row r="62" spans="1:72" ht="27.75" hidden="1" customHeight="1">
      <c r="A62" s="1323"/>
      <c r="B62" s="1095" t="s">
        <v>43</v>
      </c>
      <c r="C62" s="955" t="s">
        <v>34</v>
      </c>
      <c r="D62" s="1188"/>
      <c r="E62" s="1099"/>
      <c r="F62" s="1099"/>
      <c r="G62" s="1099"/>
      <c r="H62" s="1099"/>
      <c r="I62" s="1099"/>
      <c r="J62" s="1099"/>
      <c r="K62" s="1098">
        <f t="shared" si="12"/>
        <v>0</v>
      </c>
      <c r="L62" s="1186" t="e">
        <f>J62/D62/36</f>
        <v>#DIV/0!</v>
      </c>
      <c r="AU62" s="1131">
        <f>D62+D63+D64+D65+D66</f>
        <v>0.66</v>
      </c>
      <c r="BR62" s="1181">
        <f t="shared" si="15"/>
        <v>0</v>
      </c>
    </row>
    <row r="63" spans="1:72" ht="44.25" customHeight="1">
      <c r="A63" s="1323"/>
      <c r="B63" s="1253" t="s">
        <v>43</v>
      </c>
      <c r="C63" s="1251" t="s">
        <v>34</v>
      </c>
      <c r="D63" s="1188">
        <v>0.66</v>
      </c>
      <c r="E63" s="1099">
        <v>7926</v>
      </c>
      <c r="F63" s="1099">
        <v>5794.79</v>
      </c>
      <c r="G63" s="1099">
        <v>1316.6</v>
      </c>
      <c r="H63" s="1099">
        <v>832.23</v>
      </c>
      <c r="I63" s="1099">
        <f t="shared" si="10"/>
        <v>4766.1719999999996</v>
      </c>
      <c r="J63" s="1099">
        <f t="shared" si="11"/>
        <v>12709.791999999998</v>
      </c>
      <c r="K63" s="1098">
        <f t="shared" si="12"/>
        <v>50839.167999999991</v>
      </c>
      <c r="L63" s="1189">
        <f>J63/(4.3*27)</f>
        <v>109.47279931093883</v>
      </c>
      <c r="M63" s="1190"/>
      <c r="N63" s="1191"/>
      <c r="O63" s="1191"/>
      <c r="P63" s="1191"/>
      <c r="AC63" s="1140">
        <f>J62+J63</f>
        <v>12709.791999999998</v>
      </c>
      <c r="AY63" s="1181">
        <f>J62+J63</f>
        <v>12709.791999999998</v>
      </c>
      <c r="BP63" s="1121">
        <v>245195.3</v>
      </c>
      <c r="BQ63" s="1140">
        <f>J63</f>
        <v>12709.791999999998</v>
      </c>
      <c r="BR63" s="1181">
        <f t="shared" si="15"/>
        <v>152517.50399999996</v>
      </c>
      <c r="BS63" s="1181">
        <f>BP63-BR63</f>
        <v>92677.796000000031</v>
      </c>
    </row>
    <row r="64" spans="1:72" ht="33.75" hidden="1" customHeight="1">
      <c r="A64" s="1323"/>
      <c r="B64" s="1095" t="s">
        <v>156</v>
      </c>
      <c r="C64" s="955" t="s">
        <v>34</v>
      </c>
      <c r="D64" s="1188"/>
      <c r="E64" s="1099"/>
      <c r="F64" s="1099"/>
      <c r="G64" s="1099"/>
      <c r="H64" s="1099"/>
      <c r="I64" s="1099">
        <f t="shared" ref="I64:I67" si="16">(F64+G64+H64)*60%</f>
        <v>0</v>
      </c>
      <c r="J64" s="1099">
        <f t="shared" ref="J64:J67" si="17">F64+G64+H64+I64</f>
        <v>0</v>
      </c>
      <c r="K64" s="1098">
        <f t="shared" si="12"/>
        <v>0</v>
      </c>
      <c r="L64" s="1189"/>
      <c r="M64" s="1190"/>
      <c r="N64" s="1191"/>
      <c r="O64" s="1191"/>
      <c r="P64" s="1191"/>
      <c r="AU64" s="1140"/>
      <c r="AV64" s="1140"/>
    </row>
    <row r="65" spans="1:81" ht="37.5" hidden="1" customHeight="1">
      <c r="A65" s="1323"/>
      <c r="B65" s="1095" t="s">
        <v>44</v>
      </c>
      <c r="C65" s="955" t="s">
        <v>42</v>
      </c>
      <c r="D65" s="1185"/>
      <c r="E65" s="1099"/>
      <c r="F65" s="1099"/>
      <c r="G65" s="1099"/>
      <c r="H65" s="1099"/>
      <c r="I65" s="1099">
        <f t="shared" si="16"/>
        <v>0</v>
      </c>
      <c r="J65" s="1099">
        <f t="shared" si="17"/>
        <v>0</v>
      </c>
      <c r="K65" s="1098">
        <f t="shared" si="12"/>
        <v>0</v>
      </c>
      <c r="L65" s="1186" t="e">
        <f>J65/D65/36</f>
        <v>#DIV/0!</v>
      </c>
    </row>
    <row r="66" spans="1:81" ht="37.5" hidden="1" customHeight="1">
      <c r="A66" s="1192"/>
      <c r="B66" s="1095"/>
      <c r="C66" s="955"/>
      <c r="D66" s="1185"/>
      <c r="E66" s="1099"/>
      <c r="F66" s="1099"/>
      <c r="G66" s="1099"/>
      <c r="H66" s="1099"/>
      <c r="I66" s="1099">
        <f t="shared" si="16"/>
        <v>0</v>
      </c>
      <c r="J66" s="1099">
        <f t="shared" si="17"/>
        <v>0</v>
      </c>
      <c r="K66" s="1098">
        <f t="shared" si="12"/>
        <v>0</v>
      </c>
      <c r="L66" s="1186" t="e">
        <f>J66/D66/36</f>
        <v>#DIV/0!</v>
      </c>
      <c r="AU66" s="1121"/>
      <c r="AW66" s="1121"/>
    </row>
    <row r="67" spans="1:81" ht="45" customHeight="1">
      <c r="A67" s="1252"/>
      <c r="B67" s="1253" t="s">
        <v>131</v>
      </c>
      <c r="C67" s="1251" t="s">
        <v>29</v>
      </c>
      <c r="D67" s="1254">
        <v>0.3</v>
      </c>
      <c r="E67" s="1193">
        <v>9505</v>
      </c>
      <c r="F67" s="1099">
        <v>2851.5</v>
      </c>
      <c r="G67" s="1099">
        <v>712.88</v>
      </c>
      <c r="H67" s="1099">
        <v>142.58000000000001</v>
      </c>
      <c r="I67" s="1099">
        <f t="shared" si="16"/>
        <v>2224.1759999999999</v>
      </c>
      <c r="J67" s="1099">
        <f t="shared" si="17"/>
        <v>5931.1360000000004</v>
      </c>
      <c r="K67" s="1098">
        <f t="shared" si="12"/>
        <v>23724.544000000002</v>
      </c>
      <c r="L67" s="1186">
        <f>J67/D67/20</f>
        <v>988.52266666666674</v>
      </c>
      <c r="X67" s="1121">
        <f>D67+D68+D69+D70+D71</f>
        <v>0.5</v>
      </c>
      <c r="BL67" s="1140">
        <f>J62+J63</f>
        <v>12709.791999999998</v>
      </c>
      <c r="BN67" s="1180">
        <f>BL67*12</f>
        <v>152517.50399999996</v>
      </c>
      <c r="BP67" s="1194">
        <f>SUM(BP57:BP66)</f>
        <v>6677038.9900000002</v>
      </c>
      <c r="BQ67" s="1140">
        <f>SUM(BQ57:BQ66)</f>
        <v>521156.67200000002</v>
      </c>
    </row>
    <row r="68" spans="1:81" ht="42.75" customHeight="1" thickBot="1">
      <c r="A68" s="1195"/>
      <c r="B68" s="1137" t="s">
        <v>132</v>
      </c>
      <c r="C68" s="1144" t="s">
        <v>29</v>
      </c>
      <c r="D68" s="1196">
        <v>0.2</v>
      </c>
      <c r="E68" s="1197">
        <v>8341</v>
      </c>
      <c r="F68" s="1197">
        <f>D68*E68</f>
        <v>1668.2</v>
      </c>
      <c r="G68" s="1197">
        <v>417.05</v>
      </c>
      <c r="H68" s="1197">
        <v>83.41</v>
      </c>
      <c r="I68" s="1197">
        <f t="shared" si="10"/>
        <v>1301.1959999999999</v>
      </c>
      <c r="J68" s="1197">
        <f t="shared" si="11"/>
        <v>3469.8559999999998</v>
      </c>
      <c r="K68" s="1129">
        <f t="shared" ref="K68:K74" si="18">J68*12</f>
        <v>41638.271999999997</v>
      </c>
      <c r="L68" s="1198">
        <f>J68/D68/20</f>
        <v>867.46399999999994</v>
      </c>
      <c r="AD68" s="1121">
        <f>J75-J62-J63</f>
        <v>511916.73600000003</v>
      </c>
      <c r="AL68" s="1121">
        <f>K75-AL75</f>
        <v>2075425.7919999999</v>
      </c>
      <c r="AM68" s="1084">
        <v>5390047.4900000002</v>
      </c>
      <c r="BF68" s="1121">
        <f>K63+K62</f>
        <v>50839.167999999991</v>
      </c>
      <c r="BG68" s="1121">
        <f>BF68+K77</f>
        <v>91837.359999999986</v>
      </c>
      <c r="BM68" s="1181">
        <f>BL75+J76</f>
        <v>579119.41599999997</v>
      </c>
    </row>
    <row r="69" spans="1:81" s="1201" customFormat="1" ht="25.5" hidden="1" customHeight="1">
      <c r="A69" s="1199"/>
      <c r="B69" s="1095" t="s">
        <v>133</v>
      </c>
      <c r="C69" s="955" t="s">
        <v>34</v>
      </c>
      <c r="D69" s="1185"/>
      <c r="E69" s="954"/>
      <c r="F69" s="954"/>
      <c r="G69" s="954"/>
      <c r="H69" s="954"/>
      <c r="I69" s="954"/>
      <c r="J69" s="954">
        <f t="shared" si="11"/>
        <v>0</v>
      </c>
      <c r="K69" s="1129">
        <f t="shared" si="18"/>
        <v>0</v>
      </c>
      <c r="L69" s="1200" t="e">
        <f>J69/D69/36</f>
        <v>#DIV/0!</v>
      </c>
    </row>
    <row r="70" spans="1:81" ht="39.75" hidden="1" customHeight="1">
      <c r="A70" s="1093"/>
      <c r="B70" s="1122" t="s">
        <v>134</v>
      </c>
      <c r="C70" s="1161" t="s">
        <v>42</v>
      </c>
      <c r="D70" s="1202"/>
      <c r="E70" s="1203"/>
      <c r="F70" s="1203"/>
      <c r="G70" s="1203"/>
      <c r="H70" s="1203"/>
      <c r="I70" s="1203"/>
      <c r="J70" s="1203">
        <f t="shared" si="11"/>
        <v>0</v>
      </c>
      <c r="K70" s="1129">
        <f t="shared" si="18"/>
        <v>0</v>
      </c>
      <c r="L70" s="1204" t="e">
        <f>J70/D70/36</f>
        <v>#DIV/0!</v>
      </c>
    </row>
    <row r="71" spans="1:81" ht="27.75" hidden="1" customHeight="1">
      <c r="A71" s="1192"/>
      <c r="B71" s="1095" t="s">
        <v>135</v>
      </c>
      <c r="C71" s="955" t="s">
        <v>36</v>
      </c>
      <c r="D71" s="1185"/>
      <c r="E71" s="954"/>
      <c r="F71" s="954"/>
      <c r="G71" s="954"/>
      <c r="H71" s="954"/>
      <c r="I71" s="954"/>
      <c r="J71" s="954">
        <f t="shared" si="11"/>
        <v>0</v>
      </c>
      <c r="K71" s="1129">
        <f t="shared" si="18"/>
        <v>0</v>
      </c>
      <c r="L71" s="1186" t="e">
        <f>J71/D71/36</f>
        <v>#DIV/0!</v>
      </c>
      <c r="AU71" s="1140"/>
    </row>
    <row r="72" spans="1:81" ht="22.5" hidden="1" customHeight="1">
      <c r="A72" s="1192"/>
      <c r="B72" s="1137" t="s">
        <v>50</v>
      </c>
      <c r="C72" s="955"/>
      <c r="D72" s="1185"/>
      <c r="E72" s="954"/>
      <c r="F72" s="954"/>
      <c r="G72" s="954"/>
      <c r="H72" s="954"/>
      <c r="I72" s="954"/>
      <c r="J72" s="954"/>
      <c r="K72" s="1129">
        <f t="shared" si="18"/>
        <v>0</v>
      </c>
      <c r="L72" s="1186"/>
    </row>
    <row r="73" spans="1:81" ht="27.75" hidden="1" customHeight="1">
      <c r="A73" s="1192"/>
      <c r="B73" s="1095" t="s">
        <v>53</v>
      </c>
      <c r="C73" s="955" t="s">
        <v>29</v>
      </c>
      <c r="D73" s="1185"/>
      <c r="E73" s="954"/>
      <c r="F73" s="954"/>
      <c r="G73" s="954"/>
      <c r="H73" s="954"/>
      <c r="I73" s="954"/>
      <c r="J73" s="954"/>
      <c r="K73" s="1129">
        <f t="shared" si="18"/>
        <v>0</v>
      </c>
      <c r="L73" s="1186" t="e">
        <f>J73/D73/36</f>
        <v>#DIV/0!</v>
      </c>
      <c r="M73" s="1140" t="e">
        <f>J56+J57+J58+J59+J60+J61+J63+J65+J67+J68+J69+J70+J71+J72+#REF!+J73</f>
        <v>#REF!</v>
      </c>
    </row>
    <row r="74" spans="1:81" ht="20.25" hidden="1" customHeight="1" thickBot="1">
      <c r="A74" s="1192"/>
      <c r="B74" s="1137" t="s">
        <v>54</v>
      </c>
      <c r="C74" s="1144"/>
      <c r="D74" s="1205"/>
      <c r="E74" s="1206"/>
      <c r="F74" s="1206"/>
      <c r="G74" s="1206"/>
      <c r="H74" s="1206"/>
      <c r="I74" s="1206"/>
      <c r="J74" s="1206"/>
      <c r="K74" s="1129">
        <f t="shared" si="18"/>
        <v>0</v>
      </c>
      <c r="L74" s="1186"/>
      <c r="M74" s="1140"/>
      <c r="AU74" s="1140">
        <f>J62+J63+J64+J65+J66</f>
        <v>12709.791999999998</v>
      </c>
      <c r="AV74" s="1207"/>
    </row>
    <row r="75" spans="1:81" ht="18.75" customHeight="1" thickBot="1">
      <c r="A75" s="1208"/>
      <c r="B75" s="1103"/>
      <c r="C75" s="1209"/>
      <c r="D75" s="1210">
        <f>SUM(D50:D74)</f>
        <v>19.849999999999998</v>
      </c>
      <c r="E75" s="1210">
        <f t="shared" ref="E75:I75" si="19">SUM(E50:E74)</f>
        <v>68765</v>
      </c>
      <c r="F75" s="1210">
        <f t="shared" si="19"/>
        <v>202986.43000000005</v>
      </c>
      <c r="G75" s="1210">
        <f t="shared" si="19"/>
        <v>53135.98</v>
      </c>
      <c r="H75" s="1210">
        <f t="shared" si="19"/>
        <v>71769.17</v>
      </c>
      <c r="I75" s="1210">
        <f t="shared" si="19"/>
        <v>196734.948</v>
      </c>
      <c r="J75" s="1210">
        <f>SUM(J50:J74)</f>
        <v>524626.52800000005</v>
      </c>
      <c r="K75" s="1210">
        <f>SUM(K50:K74)</f>
        <v>2126264.96</v>
      </c>
      <c r="L75" s="1211" t="e">
        <f>SUM(L50:L73)</f>
        <v>#REF!</v>
      </c>
      <c r="M75" s="1140"/>
      <c r="AC75" s="1082">
        <v>5390047.4900000002</v>
      </c>
      <c r="AD75" s="1180">
        <f>AC75/12</f>
        <v>449170.6241666667</v>
      </c>
      <c r="AE75" s="1121">
        <f>AD75-AD68</f>
        <v>-62746.111833333329</v>
      </c>
      <c r="AL75" s="1121">
        <f>K62+K63</f>
        <v>50839.167999999991</v>
      </c>
      <c r="AM75" s="1121">
        <f>AM68-AL68</f>
        <v>3314621.6980000003</v>
      </c>
      <c r="AU75" s="1140"/>
      <c r="AV75" s="1140"/>
      <c r="AY75" s="1181">
        <f>J75-AY63</f>
        <v>511916.73600000003</v>
      </c>
      <c r="AZ75" s="1121">
        <f>J75-J62-J63</f>
        <v>511916.73600000003</v>
      </c>
      <c r="BA75" s="1140">
        <f>J62+J63</f>
        <v>12709.791999999998</v>
      </c>
      <c r="BC75" s="1181">
        <f>J62+J63</f>
        <v>12709.791999999998</v>
      </c>
      <c r="BG75" s="1181">
        <f>J75-J62-J63</f>
        <v>511916.73600000003</v>
      </c>
      <c r="BL75" s="1121">
        <f>J75-J62-J63</f>
        <v>511916.73600000003</v>
      </c>
      <c r="BM75" s="1180">
        <f>BL75*12</f>
        <v>6143000.8320000004</v>
      </c>
      <c r="BO75" s="1121"/>
      <c r="BX75" s="1180"/>
    </row>
    <row r="76" spans="1:81" ht="33.75" customHeight="1">
      <c r="A76" s="1192"/>
      <c r="B76" s="1249" t="s">
        <v>413</v>
      </c>
      <c r="C76" s="1091"/>
      <c r="D76" s="1214"/>
      <c r="E76" s="954"/>
      <c r="F76" s="954"/>
      <c r="G76" s="954"/>
      <c r="H76" s="954"/>
      <c r="I76" s="954"/>
      <c r="J76" s="954">
        <v>67202.679999999993</v>
      </c>
      <c r="K76" s="1098">
        <f t="shared" ref="K76:K77" si="20">J76*4</f>
        <v>268810.71999999997</v>
      </c>
      <c r="L76" s="1215"/>
      <c r="M76" s="1140"/>
      <c r="Y76" s="1121">
        <f>J75-J62-J63</f>
        <v>511916.73600000003</v>
      </c>
      <c r="AC76" s="1216">
        <v>371218.7</v>
      </c>
      <c r="AD76" s="1217">
        <f>AC76/12</f>
        <v>30934.891666666666</v>
      </c>
      <c r="AL76" s="1140" t="e">
        <f>#REF!-AL75</f>
        <v>#REF!</v>
      </c>
      <c r="AM76" s="1121" t="e">
        <f>#REF!-#REF!</f>
        <v>#REF!</v>
      </c>
      <c r="AU76" s="1180"/>
      <c r="AV76" s="1121"/>
      <c r="AX76" s="1140">
        <f>J62+J63+J66</f>
        <v>12709.791999999998</v>
      </c>
      <c r="AY76" s="1121">
        <f>AY75+J76</f>
        <v>579119.41599999997</v>
      </c>
      <c r="BU76" s="1248">
        <v>6646575.1799999997</v>
      </c>
      <c r="BV76" s="1181" t="e">
        <f>BU76-#REF!</f>
        <v>#REF!</v>
      </c>
      <c r="BW76" s="1181">
        <f>K78-K77-K63</f>
        <v>2344236.5119999996</v>
      </c>
      <c r="BX76" s="1121">
        <f>J75-J63</f>
        <v>511916.73600000003</v>
      </c>
      <c r="CB76" s="1084">
        <f>K76/6</f>
        <v>44801.78666666666</v>
      </c>
      <c r="CC76" s="1181">
        <f>J76*6</f>
        <v>403216.07999999996</v>
      </c>
    </row>
    <row r="77" spans="1:81" ht="35.25" customHeight="1" thickBot="1">
      <c r="A77" s="1199"/>
      <c r="B77" s="1137" t="s">
        <v>136</v>
      </c>
      <c r="C77" s="1218"/>
      <c r="D77" s="1219"/>
      <c r="E77" s="1220"/>
      <c r="F77" s="1220"/>
      <c r="G77" s="1220"/>
      <c r="H77" s="1220"/>
      <c r="I77" s="1220"/>
      <c r="J77" s="1206">
        <v>10249.548000000001</v>
      </c>
      <c r="K77" s="1098">
        <f t="shared" si="20"/>
        <v>40998.192000000003</v>
      </c>
      <c r="L77" s="1221"/>
      <c r="M77" s="1140"/>
      <c r="Y77" s="1121">
        <f>Y76+J76</f>
        <v>579119.41599999997</v>
      </c>
      <c r="Z77" s="1121">
        <f>J78-Y77</f>
        <v>22959.340000000084</v>
      </c>
      <c r="AA77" s="1121">
        <f>SUM(Y77:Z77)</f>
        <v>602078.75600000005</v>
      </c>
      <c r="AB77" s="1140">
        <f>J62+J63</f>
        <v>12709.791999999998</v>
      </c>
      <c r="AD77" s="1140">
        <f>AD76-AB77</f>
        <v>18225.099666666669</v>
      </c>
      <c r="AH77" s="1121">
        <f>K77+K63+K62</f>
        <v>91837.359999999986</v>
      </c>
      <c r="AL77" s="1140" t="e">
        <f>AL76/12</f>
        <v>#REF!</v>
      </c>
      <c r="AM77" s="1084">
        <f>AM75/12</f>
        <v>276218.47483333334</v>
      </c>
      <c r="AW77" s="1121">
        <f>K50+K51+K57+K67+K76</f>
        <v>1855980.3840000001</v>
      </c>
      <c r="AX77" s="1140">
        <f>SUM(AX76:AX76)</f>
        <v>12709.791999999998</v>
      </c>
      <c r="BI77" s="1121">
        <f>K77+K62+K63</f>
        <v>91837.359999999986</v>
      </c>
      <c r="BJ77" s="1084">
        <v>225790</v>
      </c>
      <c r="BK77" s="1121">
        <f>BJ77-BI77</f>
        <v>133952.64000000001</v>
      </c>
      <c r="BM77" s="1140">
        <f>J63+J67+J77</f>
        <v>28890.476000000002</v>
      </c>
      <c r="BN77" s="1181">
        <f>J77*12</f>
        <v>122994.576</v>
      </c>
      <c r="BP77" s="1121"/>
      <c r="BQ77" s="1121"/>
      <c r="BU77" s="1121">
        <v>247892.3</v>
      </c>
      <c r="BV77" s="1121">
        <f>BU77-K63-K77</f>
        <v>156054.93999999997</v>
      </c>
      <c r="BW77" s="1121">
        <f>K63+K77</f>
        <v>91837.359999999986</v>
      </c>
      <c r="BX77" s="1121"/>
      <c r="CB77" s="1250">
        <f>K77/6</f>
        <v>6833.0320000000002</v>
      </c>
      <c r="CC77" s="1181">
        <f>J77*6</f>
        <v>61497.288</v>
      </c>
    </row>
    <row r="78" spans="1:81" ht="27.75" customHeight="1" thickBot="1">
      <c r="A78" s="1324" t="s">
        <v>57</v>
      </c>
      <c r="B78" s="1352"/>
      <c r="C78" s="1209"/>
      <c r="D78" s="1222">
        <f>D75+D76+D77</f>
        <v>19.849999999999998</v>
      </c>
      <c r="E78" s="1222">
        <f t="shared" ref="E78:BP78" si="21">E75+E76+E77</f>
        <v>68765</v>
      </c>
      <c r="F78" s="1222">
        <f t="shared" si="21"/>
        <v>202986.43000000005</v>
      </c>
      <c r="G78" s="1222">
        <f t="shared" si="21"/>
        <v>53135.98</v>
      </c>
      <c r="H78" s="1222">
        <f t="shared" si="21"/>
        <v>71769.17</v>
      </c>
      <c r="I78" s="1222">
        <f t="shared" si="21"/>
        <v>196734.948</v>
      </c>
      <c r="J78" s="1222">
        <f t="shared" si="21"/>
        <v>602078.75600000005</v>
      </c>
      <c r="K78" s="1222">
        <f t="shared" si="21"/>
        <v>2436073.8719999995</v>
      </c>
      <c r="L78" s="1222" t="e">
        <f t="shared" si="21"/>
        <v>#REF!</v>
      </c>
      <c r="M78" s="1222">
        <f t="shared" si="21"/>
        <v>0</v>
      </c>
      <c r="N78" s="1222">
        <f t="shared" si="21"/>
        <v>0</v>
      </c>
      <c r="O78" s="1222">
        <f t="shared" si="21"/>
        <v>0</v>
      </c>
      <c r="P78" s="1222">
        <f t="shared" si="21"/>
        <v>0</v>
      </c>
      <c r="Q78" s="1222">
        <f t="shared" si="21"/>
        <v>0</v>
      </c>
      <c r="R78" s="1222">
        <f t="shared" si="21"/>
        <v>0</v>
      </c>
      <c r="S78" s="1222">
        <f t="shared" si="21"/>
        <v>0</v>
      </c>
      <c r="T78" s="1222">
        <f t="shared" si="21"/>
        <v>0</v>
      </c>
      <c r="U78" s="1222">
        <f t="shared" si="21"/>
        <v>0</v>
      </c>
      <c r="V78" s="1222">
        <f t="shared" si="21"/>
        <v>0</v>
      </c>
      <c r="W78" s="1222">
        <f t="shared" si="21"/>
        <v>0</v>
      </c>
      <c r="X78" s="1222">
        <f t="shared" si="21"/>
        <v>0</v>
      </c>
      <c r="Y78" s="1222">
        <f t="shared" si="21"/>
        <v>1091036.152</v>
      </c>
      <c r="Z78" s="1222">
        <f t="shared" si="21"/>
        <v>22959.340000000084</v>
      </c>
      <c r="AA78" s="1222">
        <f t="shared" si="21"/>
        <v>602078.75600000005</v>
      </c>
      <c r="AB78" s="1222">
        <f t="shared" si="21"/>
        <v>12709.791999999998</v>
      </c>
      <c r="AC78" s="1222">
        <f t="shared" si="21"/>
        <v>5761266.1900000004</v>
      </c>
      <c r="AD78" s="1222">
        <f t="shared" si="21"/>
        <v>498330.61550000001</v>
      </c>
      <c r="AE78" s="1222">
        <f t="shared" si="21"/>
        <v>-62746.111833333329</v>
      </c>
      <c r="AF78" s="1222">
        <f t="shared" si="21"/>
        <v>0</v>
      </c>
      <c r="AG78" s="1222">
        <f t="shared" si="21"/>
        <v>0</v>
      </c>
      <c r="AH78" s="1222">
        <f t="shared" si="21"/>
        <v>91837.359999999986</v>
      </c>
      <c r="AI78" s="1222">
        <f t="shared" si="21"/>
        <v>0</v>
      </c>
      <c r="AJ78" s="1222">
        <f t="shared" si="21"/>
        <v>0</v>
      </c>
      <c r="AK78" s="1222">
        <f t="shared" si="21"/>
        <v>0</v>
      </c>
      <c r="AL78" s="1222" t="e">
        <f t="shared" si="21"/>
        <v>#REF!</v>
      </c>
      <c r="AM78" s="1222" t="e">
        <f t="shared" si="21"/>
        <v>#REF!</v>
      </c>
      <c r="AN78" s="1222">
        <f t="shared" si="21"/>
        <v>0</v>
      </c>
      <c r="AO78" s="1222">
        <f t="shared" si="21"/>
        <v>0</v>
      </c>
      <c r="AP78" s="1222">
        <f t="shared" si="21"/>
        <v>0</v>
      </c>
      <c r="AQ78" s="1222">
        <f t="shared" si="21"/>
        <v>0</v>
      </c>
      <c r="AR78" s="1222">
        <f t="shared" si="21"/>
        <v>0</v>
      </c>
      <c r="AS78" s="1222">
        <f t="shared" si="21"/>
        <v>0</v>
      </c>
      <c r="AT78" s="1222">
        <f t="shared" si="21"/>
        <v>0</v>
      </c>
      <c r="AU78" s="1222">
        <f t="shared" si="21"/>
        <v>0</v>
      </c>
      <c r="AV78" s="1222">
        <f t="shared" si="21"/>
        <v>0</v>
      </c>
      <c r="AW78" s="1222">
        <f t="shared" si="21"/>
        <v>1855980.3840000001</v>
      </c>
      <c r="AX78" s="1222">
        <f t="shared" si="21"/>
        <v>25419.583999999995</v>
      </c>
      <c r="AY78" s="1222">
        <f t="shared" si="21"/>
        <v>1091036.152</v>
      </c>
      <c r="AZ78" s="1222">
        <f t="shared" si="21"/>
        <v>511916.73600000003</v>
      </c>
      <c r="BA78" s="1222">
        <f t="shared" si="21"/>
        <v>12709.791999999998</v>
      </c>
      <c r="BB78" s="1222">
        <f t="shared" si="21"/>
        <v>0</v>
      </c>
      <c r="BC78" s="1222">
        <f t="shared" si="21"/>
        <v>12709.791999999998</v>
      </c>
      <c r="BD78" s="1222">
        <f t="shared" si="21"/>
        <v>0</v>
      </c>
      <c r="BE78" s="1222">
        <f t="shared" si="21"/>
        <v>0</v>
      </c>
      <c r="BF78" s="1222">
        <f t="shared" si="21"/>
        <v>0</v>
      </c>
      <c r="BG78" s="1222">
        <f t="shared" si="21"/>
        <v>511916.73600000003</v>
      </c>
      <c r="BH78" s="1222">
        <f t="shared" si="21"/>
        <v>0</v>
      </c>
      <c r="BI78" s="1222">
        <f t="shared" si="21"/>
        <v>91837.359999999986</v>
      </c>
      <c r="BJ78" s="1222">
        <f t="shared" si="21"/>
        <v>225790</v>
      </c>
      <c r="BK78" s="1222">
        <f t="shared" si="21"/>
        <v>133952.64000000001</v>
      </c>
      <c r="BL78" s="1222">
        <f t="shared" si="21"/>
        <v>511916.73600000003</v>
      </c>
      <c r="BM78" s="1222">
        <f t="shared" si="21"/>
        <v>6171891.3080000002</v>
      </c>
      <c r="BN78" s="1222">
        <f t="shared" si="21"/>
        <v>122994.576</v>
      </c>
      <c r="BO78" s="1222">
        <f t="shared" si="21"/>
        <v>0</v>
      </c>
      <c r="BP78" s="1222">
        <f t="shared" si="21"/>
        <v>0</v>
      </c>
      <c r="BQ78" s="1222">
        <f t="shared" ref="BQ78:BT78" si="22">BQ75+BQ76+BQ77</f>
        <v>0</v>
      </c>
      <c r="BR78" s="1222">
        <f t="shared" si="22"/>
        <v>0</v>
      </c>
      <c r="BS78" s="1222">
        <f t="shared" si="22"/>
        <v>0</v>
      </c>
      <c r="BT78" s="1222">
        <f t="shared" si="22"/>
        <v>0</v>
      </c>
      <c r="BU78" s="1121"/>
      <c r="BX78" s="1121"/>
    </row>
    <row r="79" spans="1:81" ht="19.5" customHeight="1">
      <c r="A79" s="1192"/>
      <c r="B79" s="1122"/>
      <c r="C79" s="1353" t="s">
        <v>80</v>
      </c>
      <c r="D79" s="1354"/>
      <c r="E79" s="1354"/>
      <c r="F79" s="1354"/>
      <c r="G79" s="1354"/>
      <c r="H79" s="1354"/>
      <c r="I79" s="1354"/>
      <c r="J79" s="1354"/>
      <c r="K79" s="1355"/>
      <c r="L79" s="1094"/>
      <c r="N79" s="1121"/>
    </row>
    <row r="80" spans="1:81" ht="18" customHeight="1">
      <c r="A80" s="1328" t="s">
        <v>81</v>
      </c>
      <c r="B80" s="1095" t="s">
        <v>82</v>
      </c>
      <c r="C80" s="1315" t="s">
        <v>83</v>
      </c>
      <c r="D80" s="952">
        <v>2.2999999999999998</v>
      </c>
      <c r="E80" s="953">
        <v>3481</v>
      </c>
      <c r="F80" s="953">
        <f t="shared" ref="F80:F87" si="23">D80*E80</f>
        <v>8006.2999999999993</v>
      </c>
      <c r="G80" s="953">
        <f>F80/164.4*120*35%</f>
        <v>2045.4051094890506</v>
      </c>
      <c r="H80" s="953">
        <f>F80*25%</f>
        <v>2001.5749999999998</v>
      </c>
      <c r="I80" s="954">
        <f t="shared" ref="I80:I87" si="24">(F80+G80+H80)*60%</f>
        <v>7231.9680656934297</v>
      </c>
      <c r="J80" s="954">
        <f>F80+G80+H80+I80</f>
        <v>19285.248175182478</v>
      </c>
      <c r="K80" s="1098">
        <f t="shared" ref="K80:K87" si="25">J80*4</f>
        <v>77140.992700729912</v>
      </c>
      <c r="L80" s="1100">
        <f>(J80-G80)*12/D80/247</f>
        <v>364.1579242885428</v>
      </c>
      <c r="M80" s="1140"/>
      <c r="N80" s="1140">
        <f>63552-J80-M80</f>
        <v>44266.751824817518</v>
      </c>
      <c r="O80" s="1140">
        <f>J80+M80+N80</f>
        <v>63552</v>
      </c>
      <c r="AT80" s="1180">
        <f>K78/7*12</f>
        <v>4176126.6377142854</v>
      </c>
    </row>
    <row r="81" spans="1:47" ht="22.5" hidden="1" customHeight="1">
      <c r="A81" s="1328"/>
      <c r="B81" s="1095"/>
      <c r="C81" s="1316"/>
      <c r="D81" s="955"/>
      <c r="E81" s="956"/>
      <c r="F81" s="953"/>
      <c r="G81" s="953"/>
      <c r="H81" s="953"/>
      <c r="I81" s="954">
        <f t="shared" si="24"/>
        <v>0</v>
      </c>
      <c r="J81" s="954">
        <f>F81+G81+H81+I81</f>
        <v>0</v>
      </c>
      <c r="K81" s="1098">
        <f t="shared" si="25"/>
        <v>0</v>
      </c>
      <c r="L81" s="1100" t="e">
        <f>K81/D81/247</f>
        <v>#DIV/0!</v>
      </c>
      <c r="M81" s="1140"/>
      <c r="N81" s="1140">
        <f>21184-J81-M81</f>
        <v>21184</v>
      </c>
      <c r="O81" s="1140">
        <f>J81+M81+N81</f>
        <v>21184</v>
      </c>
    </row>
    <row r="82" spans="1:47" ht="26.25" customHeight="1">
      <c r="A82" s="1328"/>
      <c r="B82" s="1095" t="s">
        <v>85</v>
      </c>
      <c r="C82" s="1316"/>
      <c r="D82" s="952">
        <v>2</v>
      </c>
      <c r="E82" s="956">
        <v>3481</v>
      </c>
      <c r="F82" s="956">
        <f t="shared" si="23"/>
        <v>6962</v>
      </c>
      <c r="G82" s="953">
        <f>F82*12%</f>
        <v>835.43999999999994</v>
      </c>
      <c r="H82" s="953">
        <f>F82*25%</f>
        <v>1740.5</v>
      </c>
      <c r="I82" s="954">
        <f t="shared" si="24"/>
        <v>5722.7639999999992</v>
      </c>
      <c r="J82" s="954">
        <f>F82+G82+H82+I82</f>
        <v>15260.703999999998</v>
      </c>
      <c r="K82" s="1098">
        <f t="shared" si="25"/>
        <v>61042.815999999992</v>
      </c>
      <c r="L82" s="1100">
        <f t="shared" ref="L82:L92" si="26">(J82-G82)*12/D82/247</f>
        <v>350.41127125506068</v>
      </c>
      <c r="M82" s="1140"/>
      <c r="N82" s="1140">
        <f>116512-J82-M82</f>
        <v>101251.296</v>
      </c>
      <c r="O82" s="1140">
        <f>J82+M82+N82</f>
        <v>116512</v>
      </c>
      <c r="AT82" s="1140">
        <f>AT78-AT80</f>
        <v>-4176126.6377142854</v>
      </c>
    </row>
    <row r="83" spans="1:47" ht="24" hidden="1" customHeight="1">
      <c r="A83" s="1328"/>
      <c r="B83" s="1095" t="s">
        <v>95</v>
      </c>
      <c r="C83" s="1316"/>
      <c r="D83" s="955"/>
      <c r="E83" s="956"/>
      <c r="F83" s="956"/>
      <c r="G83" s="953"/>
      <c r="H83" s="953"/>
      <c r="I83" s="957">
        <f t="shared" si="24"/>
        <v>0</v>
      </c>
      <c r="J83" s="957">
        <f t="shared" ref="J83:J90" si="27">F83+G83+H83+I83</f>
        <v>0</v>
      </c>
      <c r="K83" s="1098">
        <f t="shared" si="25"/>
        <v>0</v>
      </c>
      <c r="L83" s="1100"/>
      <c r="M83" s="1140"/>
      <c r="N83" s="1140"/>
      <c r="O83" s="1140"/>
    </row>
    <row r="84" spans="1:47" ht="21" customHeight="1">
      <c r="A84" s="1328"/>
      <c r="B84" s="1095" t="s">
        <v>93</v>
      </c>
      <c r="C84" s="1316"/>
      <c r="D84" s="955">
        <v>1</v>
      </c>
      <c r="E84" s="958">
        <v>4053</v>
      </c>
      <c r="F84" s="956">
        <f>D84*E84</f>
        <v>4053</v>
      </c>
      <c r="G84" s="953">
        <f>F84*12%</f>
        <v>486.35999999999996</v>
      </c>
      <c r="H84" s="953">
        <f>F84*15%</f>
        <v>607.94999999999993</v>
      </c>
      <c r="I84" s="957">
        <f t="shared" si="24"/>
        <v>3088.3859999999995</v>
      </c>
      <c r="J84" s="957">
        <f t="shared" si="27"/>
        <v>8235.6959999999999</v>
      </c>
      <c r="K84" s="1098">
        <f t="shared" si="25"/>
        <v>32942.784</v>
      </c>
      <c r="L84" s="1100"/>
      <c r="M84" s="1140"/>
      <c r="N84" s="1140">
        <f>31776-J84-M84</f>
        <v>23540.304</v>
      </c>
      <c r="O84" s="1140">
        <f t="shared" ref="O84:O92" si="28">J84+M84+N84</f>
        <v>31776</v>
      </c>
    </row>
    <row r="85" spans="1:47" ht="31.5" customHeight="1">
      <c r="A85" s="1328"/>
      <c r="B85" s="1095" t="s">
        <v>86</v>
      </c>
      <c r="C85" s="1316"/>
      <c r="D85" s="955">
        <v>1</v>
      </c>
      <c r="E85" s="956">
        <v>3481</v>
      </c>
      <c r="F85" s="956">
        <f t="shared" si="23"/>
        <v>3481</v>
      </c>
      <c r="G85" s="953">
        <f>F85*12%</f>
        <v>417.71999999999997</v>
      </c>
      <c r="H85" s="953">
        <f>F85*25%</f>
        <v>870.25</v>
      </c>
      <c r="I85" s="954">
        <f t="shared" si="24"/>
        <v>2861.3819999999996</v>
      </c>
      <c r="J85" s="954">
        <f t="shared" si="27"/>
        <v>7630.351999999999</v>
      </c>
      <c r="K85" s="1098">
        <f t="shared" si="25"/>
        <v>30521.407999999996</v>
      </c>
      <c r="L85" s="1100">
        <f t="shared" si="26"/>
        <v>350.41127125506068</v>
      </c>
      <c r="M85" s="1140"/>
      <c r="N85" s="1140">
        <f>10592-J85-M85</f>
        <v>2961.648000000001</v>
      </c>
      <c r="O85" s="1140">
        <f t="shared" si="28"/>
        <v>10592</v>
      </c>
    </row>
    <row r="86" spans="1:47" ht="16.5" hidden="1" customHeight="1">
      <c r="A86" s="1328"/>
      <c r="B86" s="1095" t="s">
        <v>87</v>
      </c>
      <c r="C86" s="1316"/>
      <c r="D86" s="959"/>
      <c r="E86" s="960"/>
      <c r="F86" s="960"/>
      <c r="G86" s="961"/>
      <c r="H86" s="953">
        <f t="shared" ref="H86" si="29">F86*25%</f>
        <v>0</v>
      </c>
      <c r="I86" s="962">
        <f t="shared" si="24"/>
        <v>0</v>
      </c>
      <c r="J86" s="962">
        <f t="shared" si="27"/>
        <v>0</v>
      </c>
      <c r="K86" s="1098">
        <f t="shared" si="25"/>
        <v>0</v>
      </c>
      <c r="L86" s="1100" t="e">
        <f t="shared" si="26"/>
        <v>#DIV/0!</v>
      </c>
      <c r="M86" s="1140"/>
      <c r="N86" s="1140">
        <f>10592-J86-M86</f>
        <v>10592</v>
      </c>
      <c r="O86" s="1140">
        <f t="shared" si="28"/>
        <v>10592</v>
      </c>
    </row>
    <row r="87" spans="1:47" ht="50.25" customHeight="1" thickBot="1">
      <c r="A87" s="1328"/>
      <c r="B87" s="1095" t="s">
        <v>124</v>
      </c>
      <c r="C87" s="1316"/>
      <c r="D87" s="952">
        <v>0.5</v>
      </c>
      <c r="E87" s="952">
        <v>3481</v>
      </c>
      <c r="F87" s="956">
        <f t="shared" si="23"/>
        <v>1740.5</v>
      </c>
      <c r="G87" s="953"/>
      <c r="H87" s="953">
        <v>87.03</v>
      </c>
      <c r="I87" s="957">
        <f t="shared" si="24"/>
        <v>1096.518</v>
      </c>
      <c r="J87" s="957">
        <f t="shared" si="27"/>
        <v>2924.0479999999998</v>
      </c>
      <c r="K87" s="1098">
        <f t="shared" si="25"/>
        <v>11696.191999999999</v>
      </c>
      <c r="L87" s="1100">
        <f t="shared" si="26"/>
        <v>284.11802429149799</v>
      </c>
      <c r="M87" s="1140"/>
      <c r="N87" s="1140">
        <f>10592-J87-M87</f>
        <v>7667.9520000000002</v>
      </c>
      <c r="O87" s="1140">
        <f t="shared" si="28"/>
        <v>10592</v>
      </c>
    </row>
    <row r="88" spans="1:47" ht="23.25" hidden="1" customHeight="1">
      <c r="A88" s="1328"/>
      <c r="B88" s="1095" t="s">
        <v>88</v>
      </c>
      <c r="C88" s="1316"/>
      <c r="D88" s="955"/>
      <c r="E88" s="952"/>
      <c r="F88" s="956"/>
      <c r="G88" s="953"/>
      <c r="H88" s="953"/>
      <c r="I88" s="954"/>
      <c r="J88" s="954">
        <f t="shared" si="27"/>
        <v>0</v>
      </c>
      <c r="K88" s="953">
        <f t="shared" ref="K88:K93" si="30">J88*12</f>
        <v>0</v>
      </c>
      <c r="L88" s="1143"/>
      <c r="M88" s="1140"/>
      <c r="N88" s="1140">
        <f>10592-J88-M88</f>
        <v>10592</v>
      </c>
      <c r="O88" s="1140">
        <f t="shared" si="28"/>
        <v>10592</v>
      </c>
    </row>
    <row r="89" spans="1:47" ht="26.25" hidden="1" customHeight="1">
      <c r="A89" s="1328"/>
      <c r="B89" s="1095" t="s">
        <v>89</v>
      </c>
      <c r="C89" s="955" t="s">
        <v>90</v>
      </c>
      <c r="D89" s="955"/>
      <c r="E89" s="956"/>
      <c r="F89" s="956"/>
      <c r="G89" s="953"/>
      <c r="H89" s="953"/>
      <c r="I89" s="957"/>
      <c r="J89" s="957">
        <f t="shared" si="27"/>
        <v>0</v>
      </c>
      <c r="K89" s="953">
        <f t="shared" si="30"/>
        <v>0</v>
      </c>
      <c r="L89" s="1100" t="e">
        <f>K89/D89/247</f>
        <v>#DIV/0!</v>
      </c>
      <c r="M89" s="1140"/>
      <c r="N89" s="1140"/>
      <c r="O89" s="1140">
        <f t="shared" si="28"/>
        <v>0</v>
      </c>
    </row>
    <row r="90" spans="1:47" ht="21" hidden="1" customHeight="1">
      <c r="A90" s="1328"/>
      <c r="B90" s="1095" t="s">
        <v>91</v>
      </c>
      <c r="C90" s="955" t="s">
        <v>92</v>
      </c>
      <c r="D90" s="955"/>
      <c r="E90" s="952"/>
      <c r="F90" s="956"/>
      <c r="G90" s="953"/>
      <c r="H90" s="953"/>
      <c r="I90" s="957"/>
      <c r="J90" s="957">
        <f t="shared" si="27"/>
        <v>0</v>
      </c>
      <c r="K90" s="953">
        <f t="shared" si="30"/>
        <v>0</v>
      </c>
      <c r="L90" s="1100" t="e">
        <f t="shared" si="26"/>
        <v>#DIV/0!</v>
      </c>
      <c r="M90" s="1140"/>
      <c r="N90" s="1140">
        <f>10592-J90-M90</f>
        <v>10592</v>
      </c>
      <c r="O90" s="1140">
        <f t="shared" si="28"/>
        <v>10592</v>
      </c>
    </row>
    <row r="91" spans="1:47" ht="18.75" hidden="1" customHeight="1">
      <c r="A91" s="1328"/>
      <c r="B91" s="1095" t="s">
        <v>97</v>
      </c>
      <c r="C91" s="955"/>
      <c r="D91" s="955"/>
      <c r="E91" s="956"/>
      <c r="F91" s="956"/>
      <c r="G91" s="953"/>
      <c r="H91" s="953"/>
      <c r="I91" s="963"/>
      <c r="J91" s="963"/>
      <c r="K91" s="953">
        <f t="shared" si="30"/>
        <v>0</v>
      </c>
      <c r="L91" s="1100" t="e">
        <f t="shared" si="26"/>
        <v>#DIV/0!</v>
      </c>
      <c r="M91" s="1140"/>
      <c r="N91" s="1140">
        <f>10592-J91-M91</f>
        <v>10592</v>
      </c>
      <c r="O91" s="1140">
        <f t="shared" si="28"/>
        <v>10592</v>
      </c>
    </row>
    <row r="92" spans="1:47" ht="28.5" hidden="1" customHeight="1">
      <c r="A92" s="1328"/>
      <c r="B92" s="1095" t="s">
        <v>107</v>
      </c>
      <c r="C92" s="955" t="s">
        <v>96</v>
      </c>
      <c r="D92" s="964"/>
      <c r="E92" s="956"/>
      <c r="F92" s="953"/>
      <c r="G92" s="953"/>
      <c r="H92" s="953"/>
      <c r="I92" s="965"/>
      <c r="J92" s="965">
        <f>F92+G92+H92+I92</f>
        <v>0</v>
      </c>
      <c r="K92" s="953">
        <f t="shared" si="30"/>
        <v>0</v>
      </c>
      <c r="L92" s="1100" t="e">
        <f t="shared" si="26"/>
        <v>#DIV/0!</v>
      </c>
      <c r="M92" s="1140"/>
      <c r="N92" s="1140">
        <f>5296-J92-M92</f>
        <v>5296</v>
      </c>
      <c r="O92" s="1140">
        <f t="shared" si="28"/>
        <v>5296</v>
      </c>
    </row>
    <row r="93" spans="1:47" ht="28.5" hidden="1" customHeight="1" thickBot="1">
      <c r="A93" s="1329"/>
      <c r="B93" s="1150"/>
      <c r="C93" s="1109"/>
      <c r="D93" s="966"/>
      <c r="E93" s="967"/>
      <c r="F93" s="968"/>
      <c r="G93" s="968"/>
      <c r="H93" s="968"/>
      <c r="I93" s="969"/>
      <c r="J93" s="969"/>
      <c r="K93" s="953">
        <f t="shared" si="30"/>
        <v>0</v>
      </c>
      <c r="L93" s="1223"/>
      <c r="M93" s="1140"/>
      <c r="N93" s="1140"/>
      <c r="O93" s="1140"/>
    </row>
    <row r="94" spans="1:47" ht="21" customHeight="1" thickBot="1">
      <c r="A94" s="1329"/>
      <c r="B94" s="1111" t="s">
        <v>68</v>
      </c>
      <c r="C94" s="1104"/>
      <c r="D94" s="970">
        <f>SUM(D80:D93)</f>
        <v>6.8</v>
      </c>
      <c r="E94" s="970">
        <f t="shared" ref="E94:K94" si="31">SUM(E80:E93)</f>
        <v>17977</v>
      </c>
      <c r="F94" s="970">
        <f t="shared" si="31"/>
        <v>24242.799999999999</v>
      </c>
      <c r="G94" s="970">
        <f t="shared" si="31"/>
        <v>3784.9251094890506</v>
      </c>
      <c r="H94" s="970">
        <f t="shared" si="31"/>
        <v>5307.3049999999994</v>
      </c>
      <c r="I94" s="970">
        <f t="shared" si="31"/>
        <v>20001.018065693428</v>
      </c>
      <c r="J94" s="970">
        <f t="shared" si="31"/>
        <v>53336.048175182477</v>
      </c>
      <c r="K94" s="970">
        <f t="shared" si="31"/>
        <v>213344.19270072991</v>
      </c>
      <c r="L94" s="1107"/>
      <c r="N94" s="1140">
        <f>SUM(N80:N92)</f>
        <v>248535.95182481752</v>
      </c>
    </row>
    <row r="95" spans="1:47" ht="23.25" customHeight="1">
      <c r="A95" s="1095"/>
      <c r="B95" s="1224" t="s">
        <v>56</v>
      </c>
      <c r="C95" s="1161"/>
      <c r="D95" s="971"/>
      <c r="E95" s="972"/>
      <c r="F95" s="972"/>
      <c r="G95" s="972"/>
      <c r="H95" s="972"/>
      <c r="I95" s="972"/>
      <c r="J95" s="972">
        <f>J94*15%</f>
        <v>8000.4072262773716</v>
      </c>
      <c r="K95" s="1098">
        <f t="shared" ref="K95:K96" si="32">J95*4</f>
        <v>32001.628905109486</v>
      </c>
      <c r="L95" s="1094"/>
      <c r="AU95" s="1140">
        <f>J80+J81+J82+J83+J84+J85+J86+J87+J88+J90+J91+J92</f>
        <v>53336.048175182477</v>
      </c>
    </row>
    <row r="96" spans="1:47" ht="57.75" customHeight="1" thickBot="1">
      <c r="A96" s="1137"/>
      <c r="B96" s="1225" t="s">
        <v>78</v>
      </c>
      <c r="C96" s="1144"/>
      <c r="D96" s="973"/>
      <c r="E96" s="974"/>
      <c r="F96" s="974"/>
      <c r="G96" s="974"/>
      <c r="H96" s="974"/>
      <c r="I96" s="974"/>
      <c r="J96" s="974">
        <v>115381.94</v>
      </c>
      <c r="K96" s="1098">
        <f t="shared" si="32"/>
        <v>461527.76</v>
      </c>
      <c r="L96" s="1143"/>
      <c r="AD96" s="1180">
        <f>D97*20468</f>
        <v>139182.39999999999</v>
      </c>
      <c r="AE96" s="1121">
        <f>AD96-J97</f>
        <v>-37535.995401459862</v>
      </c>
    </row>
    <row r="97" spans="1:74" ht="36.75" customHeight="1" thickBot="1">
      <c r="A97" s="1103"/>
      <c r="B97" s="1226" t="s">
        <v>103</v>
      </c>
      <c r="C97" s="1104"/>
      <c r="D97" s="970">
        <f t="shared" ref="D97:K97" si="33">D94+D95+D96</f>
        <v>6.8</v>
      </c>
      <c r="E97" s="970">
        <f t="shared" si="33"/>
        <v>17977</v>
      </c>
      <c r="F97" s="970">
        <f t="shared" si="33"/>
        <v>24242.799999999999</v>
      </c>
      <c r="G97" s="970">
        <f t="shared" si="33"/>
        <v>3784.9251094890506</v>
      </c>
      <c r="H97" s="970">
        <f t="shared" si="33"/>
        <v>5307.3049999999994</v>
      </c>
      <c r="I97" s="970">
        <f t="shared" si="33"/>
        <v>20001.018065693428</v>
      </c>
      <c r="J97" s="970">
        <f t="shared" si="33"/>
        <v>176718.39540145986</v>
      </c>
      <c r="K97" s="970">
        <f t="shared" si="33"/>
        <v>706873.58160583943</v>
      </c>
      <c r="L97" s="1143"/>
      <c r="AD97" s="1084">
        <f>J97/6.8</f>
        <v>25987.999323744098</v>
      </c>
      <c r="AH97" s="1180">
        <v>1583700</v>
      </c>
      <c r="AI97" s="1121">
        <f>(K97-AH97)/12</f>
        <v>-73068.868199513381</v>
      </c>
      <c r="BU97" s="1187">
        <v>1994900</v>
      </c>
      <c r="BV97" s="1121">
        <f>BU97-K97</f>
        <v>1288026.4183941605</v>
      </c>
    </row>
    <row r="98" spans="1:74" ht="18" customHeight="1">
      <c r="A98" s="1227"/>
      <c r="B98" s="1228" t="s">
        <v>98</v>
      </c>
      <c r="C98" s="1229"/>
      <c r="D98" s="1230">
        <f t="shared" ref="D98:K98" si="34">D48+D78+D97</f>
        <v>28.65</v>
      </c>
      <c r="E98" s="1230">
        <f t="shared" si="34"/>
        <v>125195</v>
      </c>
      <c r="F98" s="1230">
        <f t="shared" si="34"/>
        <v>251706.53000000003</v>
      </c>
      <c r="G98" s="1230">
        <f t="shared" si="34"/>
        <v>63040.23010948905</v>
      </c>
      <c r="H98" s="1230">
        <f t="shared" si="34"/>
        <v>77873.574999999997</v>
      </c>
      <c r="I98" s="1230">
        <f t="shared" si="34"/>
        <v>235572.20106569343</v>
      </c>
      <c r="J98" s="1230">
        <f t="shared" si="34"/>
        <v>866582.06740145991</v>
      </c>
      <c r="K98" s="1230">
        <f t="shared" si="34"/>
        <v>3494087.1176058389</v>
      </c>
      <c r="L98" s="1143"/>
    </row>
    <row r="99" spans="1:74" ht="30" hidden="1" customHeight="1">
      <c r="A99" s="1330"/>
      <c r="B99" s="1331"/>
      <c r="C99" s="1331"/>
      <c r="D99" s="1331"/>
      <c r="E99" s="1331"/>
      <c r="F99" s="1331"/>
      <c r="G99" s="1331"/>
      <c r="H99" s="1331"/>
      <c r="I99" s="1331"/>
      <c r="J99" s="1331"/>
      <c r="K99" s="1332"/>
      <c r="L99" s="1092"/>
    </row>
    <row r="100" spans="1:74" ht="29.25" hidden="1" customHeight="1">
      <c r="A100" s="1093"/>
      <c r="B100" s="1320"/>
      <c r="C100" s="1321"/>
      <c r="D100" s="1321"/>
      <c r="E100" s="1321"/>
      <c r="F100" s="1321"/>
      <c r="G100" s="1321"/>
      <c r="H100" s="1321"/>
      <c r="I100" s="1321"/>
      <c r="J100" s="1321"/>
      <c r="K100" s="1321"/>
      <c r="L100" s="1094"/>
    </row>
    <row r="101" spans="1:74" ht="22.5" hidden="1" customHeight="1">
      <c r="A101" s="1322" t="s">
        <v>59</v>
      </c>
      <c r="B101" s="1095"/>
      <c r="C101" s="955"/>
      <c r="D101" s="955"/>
      <c r="E101" s="956"/>
      <c r="F101" s="956"/>
      <c r="G101" s="953"/>
      <c r="H101" s="953"/>
      <c r="I101" s="954"/>
      <c r="J101" s="954">
        <f>F101+G101+H101+I101</f>
        <v>0</v>
      </c>
      <c r="K101" s="953">
        <f>J101*7</f>
        <v>0</v>
      </c>
      <c r="L101" s="1100"/>
    </row>
    <row r="102" spans="1:74" ht="24.75" hidden="1" customHeight="1">
      <c r="A102" s="1323"/>
      <c r="B102" s="1095"/>
      <c r="C102" s="955"/>
      <c r="D102" s="952"/>
      <c r="E102" s="956"/>
      <c r="F102" s="953"/>
      <c r="G102" s="953"/>
      <c r="H102" s="953"/>
      <c r="I102" s="954"/>
      <c r="J102" s="954">
        <f>F102+G102+H102+I102</f>
        <v>0</v>
      </c>
      <c r="K102" s="953">
        <f>J102*7</f>
        <v>0</v>
      </c>
      <c r="L102" s="1100"/>
    </row>
    <row r="103" spans="1:74" ht="34.5" hidden="1" customHeight="1" thickBot="1">
      <c r="A103" s="1333"/>
      <c r="B103" s="1095"/>
      <c r="C103" s="955"/>
      <c r="D103" s="964"/>
      <c r="E103" s="956"/>
      <c r="F103" s="953"/>
      <c r="G103" s="953"/>
      <c r="H103" s="953"/>
      <c r="I103" s="954"/>
      <c r="J103" s="954">
        <f>F103+G103+H103+I103</f>
        <v>0</v>
      </c>
      <c r="K103" s="953">
        <f>J103*7</f>
        <v>0</v>
      </c>
      <c r="L103" s="1100"/>
    </row>
    <row r="104" spans="1:74" ht="24.75" hidden="1" customHeight="1" thickBot="1">
      <c r="A104" s="1333"/>
      <c r="B104" s="1103"/>
      <c r="C104" s="1104"/>
      <c r="D104" s="1158">
        <f t="shared" ref="D104:K104" si="35">SUM(D101:D103)</f>
        <v>0</v>
      </c>
      <c r="E104" s="1158">
        <f t="shared" si="35"/>
        <v>0</v>
      </c>
      <c r="F104" s="1158">
        <f t="shared" si="35"/>
        <v>0</v>
      </c>
      <c r="G104" s="1158">
        <f t="shared" si="35"/>
        <v>0</v>
      </c>
      <c r="H104" s="1158">
        <f t="shared" si="35"/>
        <v>0</v>
      </c>
      <c r="I104" s="1158">
        <f t="shared" si="35"/>
        <v>0</v>
      </c>
      <c r="J104" s="1158">
        <f t="shared" si="35"/>
        <v>0</v>
      </c>
      <c r="K104" s="1158">
        <f t="shared" si="35"/>
        <v>0</v>
      </c>
      <c r="L104" s="1107"/>
    </row>
    <row r="105" spans="1:74" ht="36.75" hidden="1" customHeight="1" thickBot="1">
      <c r="A105" s="1323"/>
      <c r="B105" s="1108" t="s">
        <v>56</v>
      </c>
      <c r="C105" s="1109"/>
      <c r="D105" s="1109"/>
      <c r="E105" s="967"/>
      <c r="F105" s="967"/>
      <c r="G105" s="968"/>
      <c r="H105" s="968"/>
      <c r="I105" s="968"/>
      <c r="J105" s="968">
        <f>J104*15%</f>
        <v>0</v>
      </c>
      <c r="K105" s="953">
        <f>J105*7</f>
        <v>0</v>
      </c>
      <c r="L105" s="1110"/>
    </row>
    <row r="106" spans="1:74" ht="26.25" hidden="1" customHeight="1" thickBot="1">
      <c r="A106" s="1333"/>
      <c r="B106" s="1111" t="s">
        <v>64</v>
      </c>
      <c r="C106" s="1104"/>
      <c r="D106" s="1112">
        <f t="shared" ref="D106:K106" si="36">D104+D105</f>
        <v>0</v>
      </c>
      <c r="E106" s="970">
        <f t="shared" si="36"/>
        <v>0</v>
      </c>
      <c r="F106" s="970">
        <f t="shared" si="36"/>
        <v>0</v>
      </c>
      <c r="G106" s="970">
        <f t="shared" si="36"/>
        <v>0</v>
      </c>
      <c r="H106" s="970">
        <f t="shared" si="36"/>
        <v>0</v>
      </c>
      <c r="I106" s="970">
        <f t="shared" si="36"/>
        <v>0</v>
      </c>
      <c r="J106" s="970">
        <f t="shared" si="36"/>
        <v>0</v>
      </c>
      <c r="K106" s="970">
        <f t="shared" si="36"/>
        <v>0</v>
      </c>
      <c r="L106" s="1107"/>
    </row>
    <row r="107" spans="1:74" ht="28.5" hidden="1" customHeight="1">
      <c r="A107" s="1323"/>
      <c r="B107" s="1095" t="s">
        <v>105</v>
      </c>
      <c r="C107" s="955"/>
      <c r="D107" s="952"/>
      <c r="E107" s="956"/>
      <c r="F107" s="953"/>
      <c r="G107" s="953"/>
      <c r="H107" s="953"/>
      <c r="I107" s="954"/>
      <c r="J107" s="954">
        <f>F107+G107+H107+I107</f>
        <v>0</v>
      </c>
      <c r="K107" s="953">
        <f>J107*7</f>
        <v>0</v>
      </c>
      <c r="L107" s="1100"/>
    </row>
    <row r="108" spans="1:74" ht="29.25" hidden="1" customHeight="1" thickBot="1">
      <c r="A108" s="1323"/>
      <c r="B108" s="1095" t="s">
        <v>66</v>
      </c>
      <c r="C108" s="955" t="s">
        <v>36</v>
      </c>
      <c r="D108" s="952"/>
      <c r="E108" s="956"/>
      <c r="F108" s="953"/>
      <c r="G108" s="953"/>
      <c r="H108" s="953"/>
      <c r="I108" s="954"/>
      <c r="J108" s="954"/>
      <c r="K108" s="953">
        <f>J108*3</f>
        <v>0</v>
      </c>
      <c r="L108" s="1102"/>
    </row>
    <row r="109" spans="1:74" ht="17.25" hidden="1" customHeight="1" thickBot="1">
      <c r="A109" s="1333"/>
      <c r="B109" s="1114" t="s">
        <v>67</v>
      </c>
      <c r="C109" s="1115"/>
      <c r="D109" s="1112">
        <f t="shared" ref="D109:K109" si="37">SUM(D107:D108)</f>
        <v>0</v>
      </c>
      <c r="E109" s="970">
        <f t="shared" si="37"/>
        <v>0</v>
      </c>
      <c r="F109" s="970">
        <f t="shared" si="37"/>
        <v>0</v>
      </c>
      <c r="G109" s="970">
        <f t="shared" si="37"/>
        <v>0</v>
      </c>
      <c r="H109" s="970">
        <f t="shared" si="37"/>
        <v>0</v>
      </c>
      <c r="I109" s="970">
        <f t="shared" si="37"/>
        <v>0</v>
      </c>
      <c r="J109" s="970">
        <f t="shared" si="37"/>
        <v>0</v>
      </c>
      <c r="K109" s="1116">
        <f t="shared" si="37"/>
        <v>0</v>
      </c>
      <c r="L109" s="1117"/>
    </row>
    <row r="110" spans="1:74" ht="30" hidden="1" customHeight="1" thickBot="1">
      <c r="A110" s="1323"/>
      <c r="B110" s="1108" t="s">
        <v>56</v>
      </c>
      <c r="C110" s="1109"/>
      <c r="D110" s="1118"/>
      <c r="E110" s="967"/>
      <c r="F110" s="968"/>
      <c r="G110" s="968"/>
      <c r="H110" s="968"/>
      <c r="I110" s="1119"/>
      <c r="J110" s="1120">
        <f>J109*15%</f>
        <v>0</v>
      </c>
      <c r="K110" s="953">
        <f>J110*7</f>
        <v>0</v>
      </c>
      <c r="L110" s="1110"/>
      <c r="M110" s="1121"/>
    </row>
    <row r="111" spans="1:74" ht="24.75" hidden="1" customHeight="1" thickBot="1">
      <c r="A111" s="1333"/>
      <c r="B111" s="1111" t="s">
        <v>101</v>
      </c>
      <c r="C111" s="1115"/>
      <c r="D111" s="1112">
        <f t="shared" ref="D111:K111" si="38">SUM(D109:D110)</f>
        <v>0</v>
      </c>
      <c r="E111" s="970">
        <f t="shared" si="38"/>
        <v>0</v>
      </c>
      <c r="F111" s="970">
        <f t="shared" si="38"/>
        <v>0</v>
      </c>
      <c r="G111" s="970">
        <f t="shared" si="38"/>
        <v>0</v>
      </c>
      <c r="H111" s="970">
        <f t="shared" si="38"/>
        <v>0</v>
      </c>
      <c r="I111" s="970">
        <f t="shared" si="38"/>
        <v>0</v>
      </c>
      <c r="J111" s="970">
        <f t="shared" si="38"/>
        <v>0</v>
      </c>
      <c r="K111" s="970">
        <f t="shared" si="38"/>
        <v>0</v>
      </c>
      <c r="L111" s="1107"/>
    </row>
    <row r="112" spans="1:74" ht="27.75" hidden="1" customHeight="1">
      <c r="A112" s="1322" t="s">
        <v>69</v>
      </c>
      <c r="B112" s="1122" t="s">
        <v>70</v>
      </c>
      <c r="C112" s="1334" t="s">
        <v>71</v>
      </c>
      <c r="D112" s="1123"/>
      <c r="E112" s="1124"/>
      <c r="F112" s="1125"/>
      <c r="G112" s="1126"/>
      <c r="H112" s="1126"/>
      <c r="I112" s="1127">
        <f>(F112+G112+H112)*60%</f>
        <v>0</v>
      </c>
      <c r="J112" s="1128">
        <f>F112+G112+H112+I112</f>
        <v>0</v>
      </c>
      <c r="K112" s="1129">
        <f t="shared" ref="K112:K119" si="39">J112*3</f>
        <v>0</v>
      </c>
      <c r="L112" s="1130" t="e">
        <f>K112/D112/247</f>
        <v>#DIV/0!</v>
      </c>
    </row>
    <row r="113" spans="1:15" ht="18.75" hidden="1" customHeight="1">
      <c r="A113" s="1323"/>
      <c r="B113" s="1095" t="s">
        <v>121</v>
      </c>
      <c r="C113" s="1316"/>
      <c r="D113" s="1132"/>
      <c r="E113" s="1133"/>
      <c r="F113" s="1134"/>
      <c r="G113" s="1129"/>
      <c r="H113" s="1129"/>
      <c r="I113" s="1135"/>
      <c r="J113" s="1136">
        <f>F113+G113+H113+I113</f>
        <v>0</v>
      </c>
      <c r="K113" s="1129">
        <f t="shared" si="39"/>
        <v>0</v>
      </c>
      <c r="L113" s="1100" t="e">
        <f>K113/D113/247</f>
        <v>#DIV/0!</v>
      </c>
    </row>
    <row r="114" spans="1:15" ht="33" hidden="1" customHeight="1">
      <c r="A114" s="1323"/>
      <c r="B114" s="1137" t="s">
        <v>73</v>
      </c>
      <c r="C114" s="1316"/>
      <c r="D114" s="1138"/>
      <c r="E114" s="1133"/>
      <c r="F114" s="1134"/>
      <c r="G114" s="1129"/>
      <c r="H114" s="1129"/>
      <c r="I114" s="1129"/>
      <c r="J114" s="1139">
        <v>0</v>
      </c>
      <c r="K114" s="1129">
        <f t="shared" si="39"/>
        <v>0</v>
      </c>
      <c r="L114" s="1100" t="e">
        <f>K114/D114/247</f>
        <v>#DIV/0!</v>
      </c>
    </row>
    <row r="115" spans="1:15" ht="17.25" hidden="1" customHeight="1">
      <c r="A115" s="1323"/>
      <c r="B115" s="1095" t="s">
        <v>74</v>
      </c>
      <c r="C115" s="1316"/>
      <c r="D115" s="1138"/>
      <c r="E115" s="1133"/>
      <c r="F115" s="1134">
        <f>D115*E115</f>
        <v>0</v>
      </c>
      <c r="G115" s="1129">
        <f>F115*4%</f>
        <v>0</v>
      </c>
      <c r="H115" s="1129">
        <f>F115*5%</f>
        <v>0</v>
      </c>
      <c r="I115" s="1135">
        <f>(F115+G115+H115)*60%</f>
        <v>0</v>
      </c>
      <c r="J115" s="1136">
        <f>F115+G115+H115+I115</f>
        <v>0</v>
      </c>
      <c r="K115" s="1129">
        <f t="shared" si="39"/>
        <v>0</v>
      </c>
      <c r="L115" s="1100" t="e">
        <f>K115/D115/247</f>
        <v>#DIV/0!</v>
      </c>
    </row>
    <row r="116" spans="1:15" ht="24" hidden="1" customHeight="1">
      <c r="A116" s="1323"/>
      <c r="B116" s="1095" t="s">
        <v>75</v>
      </c>
      <c r="C116" s="955" t="s">
        <v>76</v>
      </c>
      <c r="D116" s="1138"/>
      <c r="E116" s="1133"/>
      <c r="F116" s="1134"/>
      <c r="G116" s="1129"/>
      <c r="H116" s="1129"/>
      <c r="I116" s="1135"/>
      <c r="J116" s="1136">
        <f>F116+G116+H116+I116</f>
        <v>0</v>
      </c>
      <c r="K116" s="1129">
        <f t="shared" si="39"/>
        <v>0</v>
      </c>
      <c r="L116" s="1100" t="e">
        <f>K116/D116/247</f>
        <v>#DIV/0!</v>
      </c>
      <c r="M116" s="1140"/>
      <c r="N116" s="1140">
        <f>21184-J116-M116</f>
        <v>21184</v>
      </c>
      <c r="O116" s="1140">
        <f>J116+M116+N116</f>
        <v>21184</v>
      </c>
    </row>
    <row r="117" spans="1:15" ht="27.75" hidden="1" customHeight="1">
      <c r="A117" s="1323"/>
      <c r="B117" s="1095" t="s">
        <v>106</v>
      </c>
      <c r="C117" s="955"/>
      <c r="D117" s="1141"/>
      <c r="E117" s="1141"/>
      <c r="F117" s="1141"/>
      <c r="G117" s="1141"/>
      <c r="H117" s="1141"/>
      <c r="I117" s="1142"/>
      <c r="J117" s="1099"/>
      <c r="K117" s="953">
        <f>J117*7</f>
        <v>0</v>
      </c>
      <c r="L117" s="1100"/>
      <c r="M117" s="1140"/>
      <c r="N117" s="1140">
        <f>21184-J117-M117</f>
        <v>21184</v>
      </c>
      <c r="O117" s="1140">
        <f>J117+M117+N117</f>
        <v>21184</v>
      </c>
    </row>
    <row r="118" spans="1:15" ht="21" hidden="1" customHeight="1">
      <c r="A118" s="1323"/>
      <c r="B118" s="1095" t="s">
        <v>110</v>
      </c>
      <c r="C118" s="955"/>
      <c r="D118" s="1132"/>
      <c r="E118" s="1133"/>
      <c r="F118" s="1134"/>
      <c r="G118" s="1129"/>
      <c r="H118" s="1129"/>
      <c r="I118" s="1129"/>
      <c r="J118" s="1231">
        <v>0</v>
      </c>
      <c r="K118" s="1129">
        <f t="shared" si="39"/>
        <v>0</v>
      </c>
      <c r="L118" s="1143"/>
    </row>
    <row r="119" spans="1:15" ht="24.75" hidden="1" customHeight="1" thickBot="1">
      <c r="A119" s="1323"/>
      <c r="B119" s="1137" t="s">
        <v>122</v>
      </c>
      <c r="C119" s="1144"/>
      <c r="D119" s="1145"/>
      <c r="E119" s="1146"/>
      <c r="F119" s="1147"/>
      <c r="G119" s="1148"/>
      <c r="H119" s="1148"/>
      <c r="I119" s="1142"/>
      <c r="J119" s="1099"/>
      <c r="K119" s="1129">
        <f t="shared" si="39"/>
        <v>0</v>
      </c>
      <c r="L119" s="1113"/>
      <c r="N119" s="1140">
        <f>SUM(N116:N118)</f>
        <v>42368</v>
      </c>
    </row>
    <row r="120" spans="1:15" ht="21.75" hidden="1" customHeight="1" thickBot="1">
      <c r="A120" s="1149"/>
      <c r="B120" s="1103" t="s">
        <v>67</v>
      </c>
      <c r="C120" s="1104"/>
      <c r="D120" s="1158">
        <f t="shared" ref="D120:K120" si="40">SUM(D112:D119)</f>
        <v>0</v>
      </c>
      <c r="E120" s="1158">
        <f t="shared" si="40"/>
        <v>0</v>
      </c>
      <c r="F120" s="1158">
        <f t="shared" si="40"/>
        <v>0</v>
      </c>
      <c r="G120" s="1158">
        <f t="shared" si="40"/>
        <v>0</v>
      </c>
      <c r="H120" s="1158">
        <f t="shared" si="40"/>
        <v>0</v>
      </c>
      <c r="I120" s="1158">
        <f t="shared" si="40"/>
        <v>0</v>
      </c>
      <c r="J120" s="1158">
        <f t="shared" si="40"/>
        <v>0</v>
      </c>
      <c r="K120" s="1158">
        <f t="shared" si="40"/>
        <v>0</v>
      </c>
      <c r="L120" s="1159"/>
    </row>
    <row r="121" spans="1:15" ht="21.75" hidden="1" customHeight="1">
      <c r="A121" s="1149"/>
      <c r="B121" s="1160" t="s">
        <v>77</v>
      </c>
      <c r="C121" s="1161"/>
      <c r="D121" s="1162"/>
      <c r="E121" s="1163"/>
      <c r="F121" s="1164"/>
      <c r="G121" s="1165"/>
      <c r="H121" s="1165"/>
      <c r="I121" s="1165"/>
      <c r="J121" s="1165">
        <f>J120*15%</f>
        <v>0</v>
      </c>
      <c r="K121" s="953">
        <f>J121*7</f>
        <v>0</v>
      </c>
      <c r="L121" s="1143"/>
    </row>
    <row r="122" spans="1:15" ht="39" hidden="1" customHeight="1" thickBot="1">
      <c r="A122" s="1149"/>
      <c r="B122" s="1166" t="s">
        <v>78</v>
      </c>
      <c r="C122" s="1144"/>
      <c r="D122" s="1167"/>
      <c r="E122" s="1168"/>
      <c r="F122" s="1169"/>
      <c r="G122" s="1170"/>
      <c r="H122" s="1170"/>
      <c r="I122" s="1170"/>
      <c r="J122" s="1170"/>
      <c r="K122" s="953">
        <f>J122*7</f>
        <v>0</v>
      </c>
      <c r="L122" s="1113"/>
    </row>
    <row r="123" spans="1:15" s="1176" customFormat="1" ht="20.25" hidden="1" customHeight="1" thickBot="1">
      <c r="A123" s="1171"/>
      <c r="B123" s="1172" t="s">
        <v>79</v>
      </c>
      <c r="C123" s="1173"/>
      <c r="D123" s="1174">
        <f t="shared" ref="D123:K123" si="41">D120+D121+D122</f>
        <v>0</v>
      </c>
      <c r="E123" s="1174">
        <f t="shared" si="41"/>
        <v>0</v>
      </c>
      <c r="F123" s="1174">
        <f t="shared" si="41"/>
        <v>0</v>
      </c>
      <c r="G123" s="1174">
        <f t="shared" si="41"/>
        <v>0</v>
      </c>
      <c r="H123" s="1174">
        <f t="shared" si="41"/>
        <v>0</v>
      </c>
      <c r="I123" s="1174">
        <f t="shared" si="41"/>
        <v>0</v>
      </c>
      <c r="J123" s="1174">
        <f>J120+J121+J122</f>
        <v>0</v>
      </c>
      <c r="K123" s="1174">
        <f t="shared" si="41"/>
        <v>0</v>
      </c>
      <c r="L123" s="1175"/>
    </row>
    <row r="124" spans="1:15" ht="30.75" hidden="1" customHeight="1" thickBot="1">
      <c r="A124" s="1177"/>
      <c r="B124" s="1178" t="s">
        <v>102</v>
      </c>
      <c r="C124" s="1179" t="s">
        <v>100</v>
      </c>
      <c r="D124" s="1158">
        <f t="shared" ref="D124:K124" si="42">D106+D111+D123</f>
        <v>0</v>
      </c>
      <c r="E124" s="1158">
        <f t="shared" si="42"/>
        <v>0</v>
      </c>
      <c r="F124" s="1158">
        <f t="shared" si="42"/>
        <v>0</v>
      </c>
      <c r="G124" s="1158">
        <f t="shared" si="42"/>
        <v>0</v>
      </c>
      <c r="H124" s="1158">
        <f t="shared" si="42"/>
        <v>0</v>
      </c>
      <c r="I124" s="1158">
        <f t="shared" si="42"/>
        <v>0</v>
      </c>
      <c r="J124" s="1158">
        <f t="shared" si="42"/>
        <v>0</v>
      </c>
      <c r="K124" s="1158">
        <f t="shared" si="42"/>
        <v>0</v>
      </c>
      <c r="L124" s="1107"/>
    </row>
    <row r="125" spans="1:15" ht="34.5" hidden="1" customHeight="1">
      <c r="A125" s="1320" t="s">
        <v>26</v>
      </c>
      <c r="B125" s="1321"/>
      <c r="C125" s="1321"/>
      <c r="D125" s="1321"/>
      <c r="E125" s="1321"/>
      <c r="F125" s="1321"/>
      <c r="G125" s="1321"/>
      <c r="H125" s="1321"/>
      <c r="I125" s="1321"/>
      <c r="J125" s="1321"/>
      <c r="K125" s="1321"/>
      <c r="L125" s="1094"/>
    </row>
    <row r="126" spans="1:15" ht="24.75" hidden="1" customHeight="1">
      <c r="A126" s="1322" t="s">
        <v>27</v>
      </c>
      <c r="B126" s="1095" t="s">
        <v>129</v>
      </c>
      <c r="C126" s="955" t="s">
        <v>29</v>
      </c>
      <c r="D126" s="964"/>
      <c r="E126" s="1232"/>
      <c r="F126" s="1232"/>
      <c r="G126" s="1232"/>
      <c r="H126" s="1232"/>
      <c r="I126" s="954"/>
      <c r="J126" s="954">
        <f t="shared" ref="J126:J138" si="43">F126+G126+H126+I126</f>
        <v>0</v>
      </c>
      <c r="K126" s="953">
        <f t="shared" ref="K126:K138" si="44">J126*7</f>
        <v>0</v>
      </c>
      <c r="L126" s="1100" t="e">
        <f>((J126+J127+#REF!)/(4.3*1093))</f>
        <v>#REF!</v>
      </c>
      <c r="M126" s="1131"/>
      <c r="N126" s="1131"/>
      <c r="O126" s="1140"/>
    </row>
    <row r="127" spans="1:15" ht="23.25" hidden="1" customHeight="1">
      <c r="A127" s="1322"/>
      <c r="B127" s="1095" t="s">
        <v>130</v>
      </c>
      <c r="C127" s="955" t="s">
        <v>29</v>
      </c>
      <c r="D127" s="964"/>
      <c r="E127" s="1232"/>
      <c r="F127" s="1232"/>
      <c r="G127" s="1232"/>
      <c r="H127" s="1232"/>
      <c r="I127" s="954"/>
      <c r="J127" s="954">
        <f t="shared" si="43"/>
        <v>0</v>
      </c>
      <c r="K127" s="953">
        <f t="shared" si="44"/>
        <v>0</v>
      </c>
      <c r="L127" s="1143"/>
      <c r="M127" s="1140"/>
    </row>
    <row r="128" spans="1:15" ht="35.25" hidden="1" customHeight="1">
      <c r="A128" s="1322" t="s">
        <v>32</v>
      </c>
      <c r="B128" s="1095" t="s">
        <v>33</v>
      </c>
      <c r="C128" s="955" t="s">
        <v>34</v>
      </c>
      <c r="D128" s="1185"/>
      <c r="E128" s="954"/>
      <c r="F128" s="954"/>
      <c r="G128" s="954"/>
      <c r="H128" s="954"/>
      <c r="I128" s="954"/>
      <c r="J128" s="954">
        <f t="shared" si="43"/>
        <v>0</v>
      </c>
      <c r="K128" s="953">
        <f t="shared" si="44"/>
        <v>0</v>
      </c>
      <c r="L128" s="1186">
        <f>J128/36</f>
        <v>0</v>
      </c>
    </row>
    <row r="129" spans="1:47" ht="24" hidden="1" customHeight="1">
      <c r="A129" s="1322"/>
      <c r="B129" s="1095" t="s">
        <v>39</v>
      </c>
      <c r="C129" s="955" t="s">
        <v>29</v>
      </c>
      <c r="D129" s="1185"/>
      <c r="E129" s="954"/>
      <c r="F129" s="954"/>
      <c r="G129" s="954"/>
      <c r="H129" s="954"/>
      <c r="I129" s="954"/>
      <c r="J129" s="954">
        <f t="shared" si="43"/>
        <v>0</v>
      </c>
      <c r="K129" s="953">
        <f t="shared" si="44"/>
        <v>0</v>
      </c>
      <c r="L129" s="1186" t="e">
        <f>J129/D129/36</f>
        <v>#DIV/0!</v>
      </c>
    </row>
    <row r="130" spans="1:47" ht="24" hidden="1" customHeight="1">
      <c r="A130" s="1323"/>
      <c r="B130" s="1095" t="s">
        <v>40</v>
      </c>
      <c r="C130" s="955" t="s">
        <v>29</v>
      </c>
      <c r="D130" s="1185"/>
      <c r="E130" s="954"/>
      <c r="F130" s="954"/>
      <c r="G130" s="954"/>
      <c r="H130" s="954"/>
      <c r="I130" s="954"/>
      <c r="J130" s="954">
        <f t="shared" si="43"/>
        <v>0</v>
      </c>
      <c r="K130" s="953">
        <f t="shared" si="44"/>
        <v>0</v>
      </c>
      <c r="L130" s="1186" t="e">
        <f>J130/D130/20</f>
        <v>#DIV/0!</v>
      </c>
      <c r="M130" s="1121"/>
    </row>
    <row r="131" spans="1:47" ht="34.5" hidden="1" customHeight="1">
      <c r="A131" s="1323"/>
      <c r="B131" s="1095" t="s">
        <v>43</v>
      </c>
      <c r="C131" s="955" t="s">
        <v>34</v>
      </c>
      <c r="D131" s="1188"/>
      <c r="E131" s="954"/>
      <c r="F131" s="954"/>
      <c r="G131" s="954"/>
      <c r="H131" s="954"/>
      <c r="I131" s="954"/>
      <c r="J131" s="954">
        <f t="shared" si="43"/>
        <v>0</v>
      </c>
      <c r="K131" s="953">
        <f t="shared" si="44"/>
        <v>0</v>
      </c>
      <c r="L131" s="1186" t="e">
        <f>J131/D131/36</f>
        <v>#DIV/0!</v>
      </c>
    </row>
    <row r="132" spans="1:47" ht="33.75" hidden="1" customHeight="1">
      <c r="A132" s="1323"/>
      <c r="B132" s="1095" t="s">
        <v>43</v>
      </c>
      <c r="C132" s="955" t="s">
        <v>34</v>
      </c>
      <c r="D132" s="1188"/>
      <c r="E132" s="954"/>
      <c r="F132" s="954"/>
      <c r="G132" s="954"/>
      <c r="H132" s="954"/>
      <c r="I132" s="954"/>
      <c r="J132" s="954">
        <f t="shared" si="43"/>
        <v>0</v>
      </c>
      <c r="K132" s="953">
        <f t="shared" si="44"/>
        <v>0</v>
      </c>
      <c r="L132" s="1189">
        <f>J132/(4.3*27)</f>
        <v>0</v>
      </c>
      <c r="M132" s="1190"/>
      <c r="N132" s="1191"/>
      <c r="O132" s="1191"/>
      <c r="P132" s="1191"/>
    </row>
    <row r="133" spans="1:47" ht="37.5" hidden="1" customHeight="1">
      <c r="A133" s="1323"/>
      <c r="B133" s="1095" t="s">
        <v>44</v>
      </c>
      <c r="C133" s="955" t="s">
        <v>42</v>
      </c>
      <c r="D133" s="1185"/>
      <c r="E133" s="954"/>
      <c r="F133" s="954"/>
      <c r="G133" s="954"/>
      <c r="H133" s="954"/>
      <c r="I133" s="954"/>
      <c r="J133" s="954"/>
      <c r="K133" s="953">
        <f t="shared" si="44"/>
        <v>0</v>
      </c>
      <c r="L133" s="1186" t="e">
        <f>J133/D133/36</f>
        <v>#DIV/0!</v>
      </c>
    </row>
    <row r="134" spans="1:47" ht="33.75" hidden="1" customHeight="1">
      <c r="A134" s="1192"/>
      <c r="B134" s="1095" t="s">
        <v>131</v>
      </c>
      <c r="C134" s="955" t="s">
        <v>29</v>
      </c>
      <c r="D134" s="1233"/>
      <c r="E134" s="963"/>
      <c r="F134" s="954"/>
      <c r="G134" s="954"/>
      <c r="H134" s="954"/>
      <c r="I134" s="954"/>
      <c r="J134" s="954">
        <f t="shared" si="43"/>
        <v>0</v>
      </c>
      <c r="K134" s="953">
        <f t="shared" si="44"/>
        <v>0</v>
      </c>
      <c r="L134" s="1186" t="e">
        <f>J134/D134/20</f>
        <v>#DIV/0!</v>
      </c>
      <c r="X134" s="1121">
        <f>D134+D135+D136+D137+D138</f>
        <v>0</v>
      </c>
    </row>
    <row r="135" spans="1:47" ht="27" hidden="1" customHeight="1">
      <c r="A135" s="1195"/>
      <c r="B135" s="1137" t="s">
        <v>132</v>
      </c>
      <c r="C135" s="1144" t="s">
        <v>29</v>
      </c>
      <c r="D135" s="1234"/>
      <c r="E135" s="1206"/>
      <c r="F135" s="1206"/>
      <c r="G135" s="1206"/>
      <c r="H135" s="1206"/>
      <c r="I135" s="1206"/>
      <c r="J135" s="1206">
        <f t="shared" si="43"/>
        <v>0</v>
      </c>
      <c r="K135" s="953">
        <f t="shared" si="44"/>
        <v>0</v>
      </c>
      <c r="L135" s="1198" t="e">
        <f>J135/D135/20</f>
        <v>#DIV/0!</v>
      </c>
    </row>
    <row r="136" spans="1:47" s="1201" customFormat="1" ht="25.5" hidden="1" customHeight="1">
      <c r="A136" s="1199"/>
      <c r="B136" s="1095" t="s">
        <v>133</v>
      </c>
      <c r="C136" s="955" t="s">
        <v>34</v>
      </c>
      <c r="D136" s="1185"/>
      <c r="E136" s="954"/>
      <c r="F136" s="954"/>
      <c r="G136" s="954"/>
      <c r="H136" s="954"/>
      <c r="I136" s="954"/>
      <c r="J136" s="954">
        <f t="shared" si="43"/>
        <v>0</v>
      </c>
      <c r="K136" s="953">
        <f t="shared" si="44"/>
        <v>0</v>
      </c>
      <c r="L136" s="1200" t="e">
        <f>J136/D136/36</f>
        <v>#DIV/0!</v>
      </c>
    </row>
    <row r="137" spans="1:47" ht="39.75" hidden="1" customHeight="1">
      <c r="A137" s="1093"/>
      <c r="B137" s="1122" t="s">
        <v>134</v>
      </c>
      <c r="C137" s="1161" t="s">
        <v>42</v>
      </c>
      <c r="D137" s="1202"/>
      <c r="E137" s="1203"/>
      <c r="F137" s="1203"/>
      <c r="G137" s="1203"/>
      <c r="H137" s="1203"/>
      <c r="I137" s="1203"/>
      <c r="J137" s="1203">
        <f t="shared" si="43"/>
        <v>0</v>
      </c>
      <c r="K137" s="953">
        <f t="shared" si="44"/>
        <v>0</v>
      </c>
      <c r="L137" s="1204" t="e">
        <f>J137/D137/36</f>
        <v>#DIV/0!</v>
      </c>
    </row>
    <row r="138" spans="1:47" ht="27.75" hidden="1" customHeight="1">
      <c r="A138" s="1192"/>
      <c r="B138" s="1095" t="s">
        <v>135</v>
      </c>
      <c r="C138" s="955" t="s">
        <v>36</v>
      </c>
      <c r="D138" s="1185"/>
      <c r="E138" s="954"/>
      <c r="F138" s="954"/>
      <c r="G138" s="954"/>
      <c r="H138" s="954"/>
      <c r="I138" s="954"/>
      <c r="J138" s="954">
        <f t="shared" si="43"/>
        <v>0</v>
      </c>
      <c r="K138" s="953">
        <f t="shared" si="44"/>
        <v>0</v>
      </c>
      <c r="L138" s="1186" t="e">
        <f>J138/D138/36</f>
        <v>#DIV/0!</v>
      </c>
      <c r="AT138" s="1140">
        <f>K131+K132</f>
        <v>0</v>
      </c>
    </row>
    <row r="139" spans="1:47" ht="22.5" hidden="1" customHeight="1">
      <c r="A139" s="1192"/>
      <c r="B139" s="1137" t="s">
        <v>50</v>
      </c>
      <c r="C139" s="955"/>
      <c r="D139" s="1185"/>
      <c r="E139" s="954"/>
      <c r="F139" s="954"/>
      <c r="G139" s="954"/>
      <c r="H139" s="954"/>
      <c r="I139" s="954"/>
      <c r="J139" s="954"/>
      <c r="K139" s="953">
        <f>J139*3</f>
        <v>0</v>
      </c>
      <c r="L139" s="1186"/>
    </row>
    <row r="140" spans="1:47" ht="27.75" hidden="1" customHeight="1">
      <c r="A140" s="1192"/>
      <c r="B140" s="1095" t="s">
        <v>53</v>
      </c>
      <c r="C140" s="955" t="s">
        <v>29</v>
      </c>
      <c r="D140" s="1185"/>
      <c r="E140" s="954"/>
      <c r="F140" s="954"/>
      <c r="G140" s="954"/>
      <c r="H140" s="954"/>
      <c r="I140" s="954"/>
      <c r="J140" s="954"/>
      <c r="K140" s="953">
        <f>J140*3</f>
        <v>0</v>
      </c>
      <c r="L140" s="1186" t="e">
        <f>J140/D140/36</f>
        <v>#DIV/0!</v>
      </c>
      <c r="M140" s="1140" t="e">
        <f>J128+#REF!+#REF!+#REF!+J129+J130+J132+J133+J134+J135+J136+J137+J138+J139+#REF!+J140</f>
        <v>#REF!</v>
      </c>
    </row>
    <row r="141" spans="1:47" ht="17.25" hidden="1" customHeight="1" thickBot="1">
      <c r="A141" s="1192"/>
      <c r="B141" s="1137" t="s">
        <v>54</v>
      </c>
      <c r="C141" s="1144"/>
      <c r="D141" s="1205"/>
      <c r="E141" s="1206"/>
      <c r="F141" s="1206"/>
      <c r="G141" s="1206"/>
      <c r="H141" s="1206"/>
      <c r="I141" s="1206"/>
      <c r="J141" s="1206"/>
      <c r="K141" s="953">
        <f>J141*3</f>
        <v>0</v>
      </c>
      <c r="L141" s="1186"/>
      <c r="M141" s="1140"/>
    </row>
    <row r="142" spans="1:47" ht="18" hidden="1" customHeight="1" thickBot="1">
      <c r="A142" s="1208"/>
      <c r="B142" s="1103"/>
      <c r="C142" s="1209"/>
      <c r="D142" s="1210">
        <f t="shared" ref="D142:L142" si="45">SUM(D126:D140)</f>
        <v>0</v>
      </c>
      <c r="E142" s="1235">
        <f t="shared" si="45"/>
        <v>0</v>
      </c>
      <c r="F142" s="1235">
        <f t="shared" si="45"/>
        <v>0</v>
      </c>
      <c r="G142" s="1235">
        <f t="shared" si="45"/>
        <v>0</v>
      </c>
      <c r="H142" s="1235">
        <f t="shared" si="45"/>
        <v>0</v>
      </c>
      <c r="I142" s="1235">
        <f t="shared" si="45"/>
        <v>0</v>
      </c>
      <c r="J142" s="1235">
        <f t="shared" si="45"/>
        <v>0</v>
      </c>
      <c r="K142" s="1211">
        <f t="shared" si="45"/>
        <v>0</v>
      </c>
      <c r="L142" s="1211" t="e">
        <f t="shared" si="45"/>
        <v>#REF!</v>
      </c>
      <c r="M142" s="1140"/>
      <c r="AU142" s="1121">
        <f>K142-K132-K131</f>
        <v>0</v>
      </c>
    </row>
    <row r="143" spans="1:47" ht="35.25" hidden="1" customHeight="1">
      <c r="A143" s="1149"/>
      <c r="B143" s="1122" t="s">
        <v>55</v>
      </c>
      <c r="C143" s="1212"/>
      <c r="D143" s="1213"/>
      <c r="E143" s="1213"/>
      <c r="F143" s="1213"/>
      <c r="G143" s="1213"/>
      <c r="H143" s="1213"/>
      <c r="I143" s="1213"/>
      <c r="J143" s="1213"/>
      <c r="K143" s="953"/>
      <c r="L143" s="1213"/>
      <c r="M143" s="1140"/>
    </row>
    <row r="144" spans="1:47" ht="24.75" hidden="1" customHeight="1">
      <c r="A144" s="1192"/>
      <c r="B144" s="1095" t="s">
        <v>56</v>
      </c>
      <c r="C144" s="1091"/>
      <c r="D144" s="1214"/>
      <c r="E144" s="954"/>
      <c r="F144" s="954"/>
      <c r="G144" s="954"/>
      <c r="H144" s="954"/>
      <c r="I144" s="954"/>
      <c r="J144" s="954"/>
      <c r="K144" s="953"/>
      <c r="L144" s="1215"/>
      <c r="M144" s="1140"/>
      <c r="AU144" s="1140">
        <f>J142-J131-J132</f>
        <v>0</v>
      </c>
    </row>
    <row r="145" spans="1:47" ht="24.75" hidden="1" customHeight="1" thickBot="1">
      <c r="A145" s="1199"/>
      <c r="B145" s="1095" t="s">
        <v>136</v>
      </c>
      <c r="C145" s="1218"/>
      <c r="D145" s="1219"/>
      <c r="E145" s="1220"/>
      <c r="F145" s="1220"/>
      <c r="G145" s="1220"/>
      <c r="H145" s="1220"/>
      <c r="I145" s="1220"/>
      <c r="J145" s="1220"/>
      <c r="K145" s="953"/>
      <c r="L145" s="1221"/>
      <c r="M145" s="1140"/>
    </row>
    <row r="146" spans="1:47" ht="44.25" hidden="1" customHeight="1" thickBot="1">
      <c r="A146" s="1324" t="s">
        <v>57</v>
      </c>
      <c r="B146" s="1325"/>
      <c r="C146" s="1209"/>
      <c r="D146" s="1222">
        <f t="shared" ref="D146:K146" si="46">D142+D143+D144+D145</f>
        <v>0</v>
      </c>
      <c r="E146" s="1222">
        <f t="shared" si="46"/>
        <v>0</v>
      </c>
      <c r="F146" s="1222">
        <f t="shared" si="46"/>
        <v>0</v>
      </c>
      <c r="G146" s="1222">
        <f t="shared" si="46"/>
        <v>0</v>
      </c>
      <c r="H146" s="1222">
        <f t="shared" si="46"/>
        <v>0</v>
      </c>
      <c r="I146" s="1222">
        <f t="shared" si="46"/>
        <v>0</v>
      </c>
      <c r="J146" s="1222">
        <f t="shared" si="46"/>
        <v>0</v>
      </c>
      <c r="K146" s="1222">
        <f t="shared" si="46"/>
        <v>0</v>
      </c>
      <c r="L146" s="1107"/>
      <c r="M146" s="1121"/>
      <c r="P146" s="1180"/>
      <c r="AU146" s="1121">
        <f>K131+K132+K145</f>
        <v>0</v>
      </c>
    </row>
    <row r="147" spans="1:47" ht="39" hidden="1" customHeight="1">
      <c r="A147" s="1192"/>
      <c r="B147" s="1122"/>
      <c r="C147" s="1326" t="s">
        <v>80</v>
      </c>
      <c r="D147" s="1327"/>
      <c r="E147" s="1327"/>
      <c r="F147" s="1327"/>
      <c r="G147" s="1327"/>
      <c r="H147" s="1327"/>
      <c r="I147" s="1327"/>
      <c r="J147" s="1327"/>
      <c r="K147" s="1327"/>
      <c r="L147" s="1094"/>
      <c r="N147" s="1121"/>
    </row>
    <row r="148" spans="1:47" ht="35.25" hidden="1" customHeight="1">
      <c r="A148" s="1328" t="s">
        <v>81</v>
      </c>
      <c r="B148" s="1095" t="s">
        <v>82</v>
      </c>
      <c r="C148" s="1315" t="s">
        <v>83</v>
      </c>
      <c r="D148" s="952"/>
      <c r="E148" s="953"/>
      <c r="F148" s="953"/>
      <c r="G148" s="953"/>
      <c r="H148" s="953"/>
      <c r="I148" s="954"/>
      <c r="J148" s="954"/>
      <c r="K148" s="953">
        <f>J148*7</f>
        <v>0</v>
      </c>
      <c r="L148" s="1100" t="e">
        <f>(J148-G148)*12/D148/247</f>
        <v>#DIV/0!</v>
      </c>
      <c r="M148" s="1140"/>
      <c r="N148" s="1140">
        <f>63552-J148-M148</f>
        <v>63552</v>
      </c>
      <c r="O148" s="1140">
        <f>J148+M148+N148</f>
        <v>63552</v>
      </c>
    </row>
    <row r="149" spans="1:47" ht="22.5" hidden="1" customHeight="1">
      <c r="A149" s="1328"/>
      <c r="B149" s="1095" t="s">
        <v>84</v>
      </c>
      <c r="C149" s="1316"/>
      <c r="D149" s="955"/>
      <c r="E149" s="956"/>
      <c r="F149" s="953"/>
      <c r="G149" s="953"/>
      <c r="H149" s="953"/>
      <c r="I149" s="954"/>
      <c r="J149" s="954"/>
      <c r="K149" s="953">
        <f t="shared" ref="K149:K163" si="47">J149*7</f>
        <v>0</v>
      </c>
      <c r="L149" s="1100" t="e">
        <f>K149/D149/247</f>
        <v>#DIV/0!</v>
      </c>
      <c r="M149" s="1140"/>
      <c r="N149" s="1140">
        <f>21184-J149-M149</f>
        <v>21184</v>
      </c>
      <c r="O149" s="1140">
        <f>J149+M149+N149</f>
        <v>21184</v>
      </c>
    </row>
    <row r="150" spans="1:47" ht="36.75" hidden="1" customHeight="1">
      <c r="A150" s="1328"/>
      <c r="B150" s="1095" t="s">
        <v>85</v>
      </c>
      <c r="C150" s="1316"/>
      <c r="D150" s="964"/>
      <c r="E150" s="956"/>
      <c r="F150" s="953"/>
      <c r="G150" s="953"/>
      <c r="H150" s="953"/>
      <c r="I150" s="954"/>
      <c r="J150" s="954"/>
      <c r="K150" s="953">
        <f t="shared" si="47"/>
        <v>0</v>
      </c>
      <c r="L150" s="1100" t="e">
        <f>(J150-G150)*12/D150/247</f>
        <v>#DIV/0!</v>
      </c>
      <c r="M150" s="1140"/>
      <c r="N150" s="1140">
        <f>116512-J150-M150</f>
        <v>116512</v>
      </c>
      <c r="O150" s="1140">
        <f>J150+M150+N150</f>
        <v>116512</v>
      </c>
    </row>
    <row r="151" spans="1:47" ht="24" hidden="1" customHeight="1">
      <c r="A151" s="1328"/>
      <c r="B151" s="1095" t="s">
        <v>95</v>
      </c>
      <c r="C151" s="1316"/>
      <c r="D151" s="955"/>
      <c r="E151" s="956"/>
      <c r="F151" s="956"/>
      <c r="G151" s="953"/>
      <c r="H151" s="953"/>
      <c r="I151" s="957"/>
      <c r="J151" s="957"/>
      <c r="K151" s="953">
        <f t="shared" si="47"/>
        <v>0</v>
      </c>
      <c r="L151" s="1100"/>
      <c r="M151" s="1140"/>
      <c r="N151" s="1140"/>
      <c r="O151" s="1140"/>
    </row>
    <row r="152" spans="1:47" ht="21" hidden="1" customHeight="1">
      <c r="A152" s="1328"/>
      <c r="B152" s="1095" t="s">
        <v>93</v>
      </c>
      <c r="C152" s="1316"/>
      <c r="D152" s="952"/>
      <c r="E152" s="958"/>
      <c r="F152" s="956"/>
      <c r="G152" s="953"/>
      <c r="H152" s="953"/>
      <c r="I152" s="957"/>
      <c r="J152" s="957"/>
      <c r="K152" s="953">
        <f t="shared" si="47"/>
        <v>0</v>
      </c>
      <c r="L152" s="1100"/>
      <c r="M152" s="1140"/>
      <c r="N152" s="1140">
        <f>31776-J152-M152</f>
        <v>31776</v>
      </c>
      <c r="O152" s="1140">
        <f t="shared" ref="O152:O160" si="48">J152+M152+N152</f>
        <v>31776</v>
      </c>
    </row>
    <row r="153" spans="1:47" ht="22.5" hidden="1" customHeight="1">
      <c r="A153" s="1328"/>
      <c r="B153" s="1095" t="s">
        <v>86</v>
      </c>
      <c r="C153" s="1316"/>
      <c r="D153" s="964"/>
      <c r="E153" s="956"/>
      <c r="F153" s="956"/>
      <c r="G153" s="953"/>
      <c r="H153" s="953"/>
      <c r="I153" s="954"/>
      <c r="J153" s="954"/>
      <c r="K153" s="953">
        <f t="shared" si="47"/>
        <v>0</v>
      </c>
      <c r="L153" s="1100" t="e">
        <f>(J153-G153)*12/D153/247</f>
        <v>#DIV/0!</v>
      </c>
      <c r="M153" s="1140"/>
      <c r="N153" s="1140">
        <f>10592-J153-M153</f>
        <v>10592</v>
      </c>
      <c r="O153" s="1140">
        <f t="shared" si="48"/>
        <v>10592</v>
      </c>
    </row>
    <row r="154" spans="1:47" ht="21" hidden="1" customHeight="1">
      <c r="A154" s="1328"/>
      <c r="B154" s="1095" t="s">
        <v>87</v>
      </c>
      <c r="C154" s="1316"/>
      <c r="D154" s="952"/>
      <c r="E154" s="956"/>
      <c r="F154" s="956"/>
      <c r="G154" s="953"/>
      <c r="H154" s="953"/>
      <c r="I154" s="954"/>
      <c r="J154" s="954"/>
      <c r="K154" s="953">
        <f t="shared" si="47"/>
        <v>0</v>
      </c>
      <c r="L154" s="1100" t="e">
        <f>(J154-G154)*12/D154/247</f>
        <v>#DIV/0!</v>
      </c>
      <c r="M154" s="1140"/>
      <c r="N154" s="1140">
        <f>10592-J154-M154</f>
        <v>10592</v>
      </c>
      <c r="O154" s="1140">
        <f t="shared" si="48"/>
        <v>10592</v>
      </c>
    </row>
    <row r="155" spans="1:47" ht="39" hidden="1" customHeight="1" thickBot="1">
      <c r="A155" s="1328"/>
      <c r="B155" s="1095" t="s">
        <v>109</v>
      </c>
      <c r="C155" s="1316"/>
      <c r="D155" s="952"/>
      <c r="E155" s="952"/>
      <c r="F155" s="956"/>
      <c r="G155" s="953"/>
      <c r="H155" s="953"/>
      <c r="I155" s="957"/>
      <c r="J155" s="957"/>
      <c r="K155" s="953">
        <f t="shared" si="47"/>
        <v>0</v>
      </c>
      <c r="L155" s="1100" t="e">
        <f>(J155-G155)*12/D155/247</f>
        <v>#DIV/0!</v>
      </c>
      <c r="M155" s="1140"/>
      <c r="N155" s="1140">
        <f>10592-J155-M155</f>
        <v>10592</v>
      </c>
      <c r="O155" s="1140">
        <f t="shared" si="48"/>
        <v>10592</v>
      </c>
    </row>
    <row r="156" spans="1:47" ht="23.25" hidden="1" customHeight="1">
      <c r="A156" s="1328"/>
      <c r="B156" s="1095" t="s">
        <v>88</v>
      </c>
      <c r="C156" s="1316"/>
      <c r="D156" s="952"/>
      <c r="E156" s="952"/>
      <c r="F156" s="956"/>
      <c r="G156" s="953"/>
      <c r="H156" s="953"/>
      <c r="I156" s="954"/>
      <c r="J156" s="954"/>
      <c r="K156" s="953">
        <f t="shared" si="47"/>
        <v>0</v>
      </c>
      <c r="L156" s="1143"/>
      <c r="M156" s="1140"/>
      <c r="N156" s="1140">
        <f>10592-J156-M156</f>
        <v>10592</v>
      </c>
      <c r="O156" s="1140">
        <f t="shared" si="48"/>
        <v>10592</v>
      </c>
    </row>
    <row r="157" spans="1:47" ht="30" hidden="1" customHeight="1">
      <c r="A157" s="1328"/>
      <c r="B157" s="1095" t="s">
        <v>89</v>
      </c>
      <c r="C157" s="955" t="s">
        <v>90</v>
      </c>
      <c r="D157" s="964"/>
      <c r="E157" s="956"/>
      <c r="F157" s="956"/>
      <c r="G157" s="953"/>
      <c r="H157" s="953"/>
      <c r="I157" s="957"/>
      <c r="J157" s="957"/>
      <c r="K157" s="953">
        <f t="shared" si="47"/>
        <v>0</v>
      </c>
      <c r="L157" s="1100" t="e">
        <f>K157/D157/247</f>
        <v>#DIV/0!</v>
      </c>
      <c r="M157" s="1140"/>
      <c r="N157" s="1140"/>
      <c r="O157" s="1140">
        <f t="shared" si="48"/>
        <v>0</v>
      </c>
    </row>
    <row r="158" spans="1:47" ht="21" hidden="1" customHeight="1">
      <c r="A158" s="1328"/>
      <c r="B158" s="1095" t="s">
        <v>91</v>
      </c>
      <c r="C158" s="955" t="s">
        <v>92</v>
      </c>
      <c r="D158" s="952"/>
      <c r="E158" s="952"/>
      <c r="F158" s="956"/>
      <c r="G158" s="953"/>
      <c r="H158" s="953"/>
      <c r="I158" s="957"/>
      <c r="J158" s="957"/>
      <c r="K158" s="953">
        <f t="shared" si="47"/>
        <v>0</v>
      </c>
      <c r="L158" s="1100" t="e">
        <f>(J158-G158)*12/D158/247</f>
        <v>#DIV/0!</v>
      </c>
      <c r="M158" s="1140"/>
      <c r="N158" s="1140">
        <f>10592-J158-M158</f>
        <v>10592</v>
      </c>
      <c r="O158" s="1140">
        <f t="shared" si="48"/>
        <v>10592</v>
      </c>
    </row>
    <row r="159" spans="1:47" ht="18.75" hidden="1" customHeight="1">
      <c r="A159" s="1328"/>
      <c r="B159" s="1095" t="s">
        <v>97</v>
      </c>
      <c r="C159" s="955"/>
      <c r="D159" s="955"/>
      <c r="E159" s="956"/>
      <c r="F159" s="956"/>
      <c r="G159" s="953"/>
      <c r="H159" s="953"/>
      <c r="I159" s="963"/>
      <c r="J159" s="963"/>
      <c r="K159" s="953">
        <f t="shared" si="47"/>
        <v>0</v>
      </c>
      <c r="L159" s="1100" t="e">
        <f>(J159-G159)*12/D159/247</f>
        <v>#DIV/0!</v>
      </c>
      <c r="M159" s="1140"/>
      <c r="N159" s="1140">
        <f>10592-J159-M159</f>
        <v>10592</v>
      </c>
      <c r="O159" s="1140">
        <f t="shared" si="48"/>
        <v>10592</v>
      </c>
    </row>
    <row r="160" spans="1:47" ht="28.5" hidden="1" customHeight="1" thickBot="1">
      <c r="A160" s="1328"/>
      <c r="B160" s="1095" t="s">
        <v>107</v>
      </c>
      <c r="C160" s="955" t="s">
        <v>96</v>
      </c>
      <c r="D160" s="964"/>
      <c r="E160" s="956"/>
      <c r="F160" s="956"/>
      <c r="G160" s="953"/>
      <c r="H160" s="953"/>
      <c r="I160" s="965"/>
      <c r="J160" s="957"/>
      <c r="K160" s="953">
        <f t="shared" si="47"/>
        <v>0</v>
      </c>
      <c r="L160" s="1100" t="e">
        <f>(J160-G160)*12/D160/247</f>
        <v>#DIV/0!</v>
      </c>
      <c r="M160" s="1140"/>
      <c r="N160" s="1140">
        <f>5296-J160-M160</f>
        <v>5296</v>
      </c>
      <c r="O160" s="1140">
        <f t="shared" si="48"/>
        <v>5296</v>
      </c>
    </row>
    <row r="161" spans="1:67" ht="21" hidden="1" customHeight="1" thickBot="1">
      <c r="A161" s="1329"/>
      <c r="B161" s="1111" t="s">
        <v>68</v>
      </c>
      <c r="C161" s="1104"/>
      <c r="D161" s="970">
        <f t="shared" ref="D161:K161" si="49">SUM(D148:D160)</f>
        <v>0</v>
      </c>
      <c r="E161" s="1112">
        <f t="shared" si="49"/>
        <v>0</v>
      </c>
      <c r="F161" s="970">
        <f t="shared" si="49"/>
        <v>0</v>
      </c>
      <c r="G161" s="970">
        <f t="shared" si="49"/>
        <v>0</v>
      </c>
      <c r="H161" s="970">
        <f t="shared" si="49"/>
        <v>0</v>
      </c>
      <c r="I161" s="1112">
        <f t="shared" si="49"/>
        <v>0</v>
      </c>
      <c r="J161" s="970">
        <f t="shared" si="49"/>
        <v>0</v>
      </c>
      <c r="K161" s="1112">
        <f t="shared" si="49"/>
        <v>0</v>
      </c>
      <c r="L161" s="1107"/>
      <c r="N161" s="1140">
        <f>SUM(N148:N160)</f>
        <v>301872</v>
      </c>
      <c r="AU161" s="1121">
        <f>D148+D150+D152+D153+D155+D156+D158+D160</f>
        <v>0</v>
      </c>
      <c r="AV161" s="1140">
        <f>J161-J157</f>
        <v>0</v>
      </c>
    </row>
    <row r="162" spans="1:67" ht="23.25" hidden="1" customHeight="1">
      <c r="A162" s="1095"/>
      <c r="B162" s="1224" t="s">
        <v>56</v>
      </c>
      <c r="C162" s="1161"/>
      <c r="D162" s="971"/>
      <c r="E162" s="972"/>
      <c r="F162" s="972"/>
      <c r="G162" s="972"/>
      <c r="H162" s="972"/>
      <c r="I162" s="972"/>
      <c r="J162" s="972"/>
      <c r="K162" s="953">
        <f t="shared" si="47"/>
        <v>0</v>
      </c>
      <c r="L162" s="1094"/>
    </row>
    <row r="163" spans="1:67" ht="39" hidden="1" customHeight="1" thickBot="1">
      <c r="A163" s="1137"/>
      <c r="B163" s="1225" t="s">
        <v>78</v>
      </c>
      <c r="C163" s="1144"/>
      <c r="D163" s="973"/>
      <c r="E163" s="974"/>
      <c r="F163" s="974"/>
      <c r="G163" s="974"/>
      <c r="H163" s="974"/>
      <c r="I163" s="974"/>
      <c r="J163" s="974"/>
      <c r="K163" s="953">
        <f t="shared" si="47"/>
        <v>0</v>
      </c>
      <c r="L163" s="1143"/>
    </row>
    <row r="164" spans="1:67" ht="17.25" hidden="1" customHeight="1" thickBot="1">
      <c r="A164" s="1103"/>
      <c r="B164" s="1226" t="s">
        <v>103</v>
      </c>
      <c r="C164" s="1104"/>
      <c r="D164" s="970">
        <f t="shared" ref="D164:K164" si="50">D161+D162+D163</f>
        <v>0</v>
      </c>
      <c r="E164" s="970">
        <f t="shared" si="50"/>
        <v>0</v>
      </c>
      <c r="F164" s="970">
        <f t="shared" si="50"/>
        <v>0</v>
      </c>
      <c r="G164" s="970">
        <f t="shared" si="50"/>
        <v>0</v>
      </c>
      <c r="H164" s="970">
        <f t="shared" si="50"/>
        <v>0</v>
      </c>
      <c r="I164" s="970">
        <f t="shared" si="50"/>
        <v>0</v>
      </c>
      <c r="J164" s="970">
        <f t="shared" si="50"/>
        <v>0</v>
      </c>
      <c r="K164" s="1116">
        <f t="shared" si="50"/>
        <v>0</v>
      </c>
      <c r="L164" s="1143"/>
    </row>
    <row r="165" spans="1:67" ht="18" hidden="1" customHeight="1" thickBot="1">
      <c r="A165" s="1236"/>
      <c r="B165" s="1237" t="s">
        <v>154</v>
      </c>
      <c r="C165" s="1238"/>
      <c r="D165" s="1239">
        <f t="shared" ref="D165:K165" si="51">D124+D146+D164</f>
        <v>0</v>
      </c>
      <c r="E165" s="1239">
        <f t="shared" si="51"/>
        <v>0</v>
      </c>
      <c r="F165" s="1239">
        <f t="shared" si="51"/>
        <v>0</v>
      </c>
      <c r="G165" s="1239">
        <f t="shared" si="51"/>
        <v>0</v>
      </c>
      <c r="H165" s="1239">
        <f t="shared" si="51"/>
        <v>0</v>
      </c>
      <c r="I165" s="1239">
        <f t="shared" si="51"/>
        <v>0</v>
      </c>
      <c r="J165" s="1239">
        <f t="shared" si="51"/>
        <v>0</v>
      </c>
      <c r="K165" s="1239">
        <f t="shared" si="51"/>
        <v>0</v>
      </c>
      <c r="L165" s="1143"/>
    </row>
    <row r="166" spans="1:67" ht="27" hidden="1" customHeight="1" thickBot="1">
      <c r="A166" s="1240"/>
      <c r="B166" s="1241" t="s">
        <v>98</v>
      </c>
      <c r="C166" s="1242"/>
      <c r="D166" s="1243">
        <f t="shared" ref="D166:K166" si="52">D98+D165</f>
        <v>28.65</v>
      </c>
      <c r="E166" s="1243">
        <f t="shared" si="52"/>
        <v>125195</v>
      </c>
      <c r="F166" s="1243">
        <f t="shared" si="52"/>
        <v>251706.53000000003</v>
      </c>
      <c r="G166" s="1243">
        <f t="shared" si="52"/>
        <v>63040.23010948905</v>
      </c>
      <c r="H166" s="1243">
        <f t="shared" si="52"/>
        <v>77873.574999999997</v>
      </c>
      <c r="I166" s="1243">
        <f t="shared" si="52"/>
        <v>235572.20106569343</v>
      </c>
      <c r="J166" s="1243">
        <f t="shared" si="52"/>
        <v>866582.06740145991</v>
      </c>
      <c r="K166" s="1243">
        <f t="shared" si="52"/>
        <v>3494087.1176058389</v>
      </c>
      <c r="AB166" s="1084">
        <f>J166*12</f>
        <v>10398984.808817519</v>
      </c>
    </row>
    <row r="167" spans="1:67">
      <c r="B167" s="1084" t="s">
        <v>412</v>
      </c>
    </row>
    <row r="168" spans="1:67" ht="27.75" hidden="1" customHeight="1">
      <c r="J168" s="1244"/>
    </row>
    <row r="169" spans="1:67" ht="7.5" customHeight="1">
      <c r="J169" s="1131"/>
    </row>
    <row r="170" spans="1:67" ht="15.75" customHeight="1">
      <c r="A170" s="1335" t="s">
        <v>58</v>
      </c>
      <c r="B170" s="1336"/>
      <c r="C170" s="1336"/>
      <c r="D170" s="1233">
        <f t="shared" ref="D170:K170" si="53">D48+D124</f>
        <v>2</v>
      </c>
      <c r="E170" s="1233">
        <f t="shared" si="53"/>
        <v>38453</v>
      </c>
      <c r="F170" s="1233">
        <f t="shared" si="53"/>
        <v>24477.3</v>
      </c>
      <c r="G170" s="1233">
        <f t="shared" si="53"/>
        <v>6119.3249999999998</v>
      </c>
      <c r="H170" s="1233">
        <f t="shared" si="53"/>
        <v>797.1</v>
      </c>
      <c r="I170" s="1233">
        <f t="shared" si="53"/>
        <v>18836.234999999997</v>
      </c>
      <c r="J170" s="1233">
        <f t="shared" si="53"/>
        <v>87784.915999999997</v>
      </c>
      <c r="K170" s="1233">
        <f t="shared" si="53"/>
        <v>351139.66399999999</v>
      </c>
      <c r="L170" s="1233" t="e">
        <f>L78</f>
        <v>#REF!</v>
      </c>
      <c r="BO170" s="1180">
        <f>K170*1.302</f>
        <v>457183.84252800001</v>
      </c>
    </row>
    <row r="171" spans="1:67" ht="16.5" customHeight="1">
      <c r="A171" s="1317" t="s">
        <v>26</v>
      </c>
      <c r="B171" s="1318"/>
      <c r="C171" s="1245"/>
      <c r="D171" s="1233">
        <f t="shared" ref="D171:K171" si="54">D78+D146</f>
        <v>19.849999999999998</v>
      </c>
      <c r="E171" s="1233">
        <f t="shared" si="54"/>
        <v>68765</v>
      </c>
      <c r="F171" s="1233">
        <f t="shared" si="54"/>
        <v>202986.43000000005</v>
      </c>
      <c r="G171" s="1233">
        <f t="shared" si="54"/>
        <v>53135.98</v>
      </c>
      <c r="H171" s="1233">
        <f t="shared" si="54"/>
        <v>71769.17</v>
      </c>
      <c r="I171" s="1233">
        <f t="shared" si="54"/>
        <v>196734.948</v>
      </c>
      <c r="J171" s="1233">
        <f t="shared" si="54"/>
        <v>602078.75600000005</v>
      </c>
      <c r="K171" s="1233">
        <f t="shared" si="54"/>
        <v>2436073.8719999995</v>
      </c>
      <c r="L171" s="1233" t="e">
        <f>L78</f>
        <v>#REF!</v>
      </c>
      <c r="Q171" s="1180"/>
    </row>
    <row r="172" spans="1:67" ht="22.5" customHeight="1">
      <c r="A172" s="1319" t="s">
        <v>80</v>
      </c>
      <c r="B172" s="1316"/>
      <c r="C172" s="1316"/>
      <c r="D172" s="1246">
        <f t="shared" ref="D172:K172" si="55">D97+D164</f>
        <v>6.8</v>
      </c>
      <c r="E172" s="1246">
        <f t="shared" si="55"/>
        <v>17977</v>
      </c>
      <c r="F172" s="1246">
        <f t="shared" si="55"/>
        <v>24242.799999999999</v>
      </c>
      <c r="G172" s="1246">
        <f t="shared" si="55"/>
        <v>3784.9251094890506</v>
      </c>
      <c r="H172" s="1246">
        <f t="shared" si="55"/>
        <v>5307.3049999999994</v>
      </c>
      <c r="I172" s="1246">
        <f t="shared" si="55"/>
        <v>20001.018065693428</v>
      </c>
      <c r="J172" s="1246">
        <f t="shared" si="55"/>
        <v>176718.39540145986</v>
      </c>
      <c r="K172" s="1246">
        <f t="shared" si="55"/>
        <v>706873.58160583943</v>
      </c>
      <c r="L172" s="1246">
        <f>L97</f>
        <v>0</v>
      </c>
    </row>
    <row r="173" spans="1:67" ht="22.5" hidden="1" customHeight="1">
      <c r="D173" s="1121">
        <f>SUM(D170:D172)</f>
        <v>28.65</v>
      </c>
      <c r="E173" s="1121">
        <f t="shared" ref="E173:K173" si="56">SUM(E170:E172)</f>
        <v>125195</v>
      </c>
      <c r="F173" s="1121">
        <f t="shared" si="56"/>
        <v>251706.53000000003</v>
      </c>
      <c r="G173" s="1121">
        <f t="shared" si="56"/>
        <v>63040.23010948905</v>
      </c>
      <c r="H173" s="1121">
        <f t="shared" si="56"/>
        <v>77873.574999999997</v>
      </c>
      <c r="I173" s="1121">
        <f t="shared" si="56"/>
        <v>235572.20106569343</v>
      </c>
      <c r="J173" s="1121">
        <f t="shared" si="56"/>
        <v>866582.06740145991</v>
      </c>
      <c r="K173" s="1121">
        <f t="shared" si="56"/>
        <v>3494087.1176058389</v>
      </c>
    </row>
    <row r="174" spans="1:67" ht="12.75" hidden="1" customHeight="1">
      <c r="D174" s="1121"/>
      <c r="F174" s="1121"/>
      <c r="K174" s="1121"/>
    </row>
    <row r="175" spans="1:67" ht="12.75" hidden="1" customHeight="1">
      <c r="D175" s="1121"/>
    </row>
    <row r="176" spans="1:67" ht="12.75" hidden="1" customHeight="1"/>
    <row r="177" spans="1:68" ht="12.75" customHeight="1"/>
    <row r="178" spans="1:68" ht="12.75" hidden="1" customHeight="1"/>
    <row r="179" spans="1:68" ht="11.25" customHeight="1">
      <c r="B179" s="1191" t="s">
        <v>99</v>
      </c>
      <c r="D179" s="1121">
        <f>SUM(D173)</f>
        <v>28.65</v>
      </c>
      <c r="H179" s="1191" t="s">
        <v>127</v>
      </c>
      <c r="J179" s="1121">
        <f>SUM(J173)</f>
        <v>866582.06740145991</v>
      </c>
      <c r="K179" s="1121">
        <f>SUM(K173)</f>
        <v>3494087.1176058389</v>
      </c>
      <c r="N179" s="1180"/>
      <c r="AU179" s="1180"/>
    </row>
    <row r="180" spans="1:68">
      <c r="D180" s="1121"/>
      <c r="BP180" s="1121">
        <f>K179-K180</f>
        <v>3494087.1176058389</v>
      </c>
    </row>
    <row r="181" spans="1:68">
      <c r="A181" s="1084" t="s">
        <v>194</v>
      </c>
      <c r="K181" s="1187"/>
    </row>
    <row r="183" spans="1:68">
      <c r="D183" s="1247"/>
    </row>
  </sheetData>
  <mergeCells count="50">
    <mergeCell ref="AG1:AX1"/>
    <mergeCell ref="AI3:AX3"/>
    <mergeCell ref="AI4:AX4"/>
    <mergeCell ref="A5:K5"/>
    <mergeCell ref="L15:L16"/>
    <mergeCell ref="E8:F8"/>
    <mergeCell ref="G8:H8"/>
    <mergeCell ref="G9:H9"/>
    <mergeCell ref="B15:B16"/>
    <mergeCell ref="C15:C16"/>
    <mergeCell ref="D15:D16"/>
    <mergeCell ref="E15:E16"/>
    <mergeCell ref="F15:F16"/>
    <mergeCell ref="G15:H15"/>
    <mergeCell ref="I15:I16"/>
    <mergeCell ref="A6:K6"/>
    <mergeCell ref="I1:K1"/>
    <mergeCell ref="J15:J16"/>
    <mergeCell ref="K15:K16"/>
    <mergeCell ref="A15:A16"/>
    <mergeCell ref="A49:K49"/>
    <mergeCell ref="E9:F9"/>
    <mergeCell ref="A17:K17"/>
    <mergeCell ref="B18:K18"/>
    <mergeCell ref="A19:A25"/>
    <mergeCell ref="A26:A33"/>
    <mergeCell ref="A34:A41"/>
    <mergeCell ref="A172:C172"/>
    <mergeCell ref="A125:K125"/>
    <mergeCell ref="A126:A127"/>
    <mergeCell ref="A128:A133"/>
    <mergeCell ref="A146:B146"/>
    <mergeCell ref="C147:K147"/>
    <mergeCell ref="A148:A161"/>
    <mergeCell ref="C148:C156"/>
    <mergeCell ref="A107:A111"/>
    <mergeCell ref="A112:A119"/>
    <mergeCell ref="C112:C115"/>
    <mergeCell ref="A170:C170"/>
    <mergeCell ref="A171:B171"/>
    <mergeCell ref="A80:A94"/>
    <mergeCell ref="C80:C88"/>
    <mergeCell ref="A99:K99"/>
    <mergeCell ref="B100:K100"/>
    <mergeCell ref="A101:A106"/>
    <mergeCell ref="A50:A51"/>
    <mergeCell ref="A56:A65"/>
    <mergeCell ref="A78:B78"/>
    <mergeCell ref="C79:K79"/>
    <mergeCell ref="C34:C37"/>
  </mergeCells>
  <pageMargins left="0.35433070866141736" right="0.39370078740157483" top="0.35433070866141736" bottom="0.15748031496062992" header="0.27559055118110237" footer="0.15748031496062992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AI22"/>
  <sheetViews>
    <sheetView topLeftCell="T1" workbookViewId="0">
      <selection activeCell="AH10" sqref="AH10"/>
    </sheetView>
  </sheetViews>
  <sheetFormatPr defaultRowHeight="12.75"/>
  <cols>
    <col min="1" max="1" width="15.85546875" style="589" hidden="1" customWidth="1"/>
    <col min="2" max="2" width="16.85546875" style="589" hidden="1" customWidth="1"/>
    <col min="3" max="3" width="12.42578125" style="589" hidden="1" customWidth="1"/>
    <col min="4" max="17" width="9.140625" style="589" hidden="1" customWidth="1"/>
    <col min="18" max="18" width="14.140625" style="589" customWidth="1"/>
    <col min="19" max="19" width="6.42578125" style="589" customWidth="1"/>
    <col min="20" max="20" width="13.28515625" style="589" customWidth="1"/>
    <col min="21" max="21" width="8" style="589" customWidth="1"/>
    <col min="22" max="22" width="12.42578125" style="589" customWidth="1"/>
    <col min="23" max="23" width="12" style="589" customWidth="1"/>
    <col min="24" max="24" width="8.28515625" style="589" customWidth="1"/>
    <col min="25" max="25" width="10.5703125" style="589" customWidth="1"/>
    <col min="26" max="26" width="7.28515625" style="589" customWidth="1"/>
    <col min="27" max="27" width="13" style="589" customWidth="1"/>
    <col min="28" max="28" width="7" style="589" customWidth="1"/>
    <col min="29" max="29" width="9.7109375" style="589" customWidth="1"/>
    <col min="30" max="30" width="8.42578125" style="589" customWidth="1"/>
    <col min="31" max="32" width="12.7109375" style="589" customWidth="1"/>
    <col min="33" max="33" width="13.5703125" style="589" customWidth="1"/>
    <col min="34" max="34" width="15.28515625" style="589" customWidth="1"/>
    <col min="35" max="35" width="12.5703125" style="589" hidden="1" customWidth="1"/>
    <col min="36" max="16384" width="9.140625" style="589"/>
  </cols>
  <sheetData>
    <row r="2" spans="1:35">
      <c r="R2" s="590"/>
      <c r="S2" s="590"/>
      <c r="AD2" s="1440"/>
      <c r="AE2" s="1440"/>
      <c r="AF2" s="816"/>
      <c r="AG2" s="816"/>
      <c r="AH2" s="590"/>
    </row>
    <row r="3" spans="1:35">
      <c r="V3" s="589" t="s">
        <v>222</v>
      </c>
      <c r="AC3" s="590" t="s">
        <v>2</v>
      </c>
      <c r="AE3" s="590" t="s">
        <v>225</v>
      </c>
      <c r="AF3" s="592"/>
      <c r="AG3" s="592"/>
    </row>
    <row r="4" spans="1:35" ht="13.5" thickBot="1">
      <c r="R4" s="590"/>
      <c r="S4" s="590"/>
      <c r="U4" s="589" t="s">
        <v>226</v>
      </c>
      <c r="AC4" s="590" t="s">
        <v>4</v>
      </c>
      <c r="AE4" s="590" t="s">
        <v>256</v>
      </c>
      <c r="AF4" s="592"/>
      <c r="AG4" s="592"/>
    </row>
    <row r="5" spans="1:35" ht="13.5" thickBot="1">
      <c r="R5" s="590"/>
      <c r="S5" s="590"/>
      <c r="U5" s="589" t="s">
        <v>229</v>
      </c>
      <c r="W5" s="589" t="s">
        <v>255</v>
      </c>
      <c r="AE5" s="590" t="s">
        <v>230</v>
      </c>
      <c r="AF5" s="592"/>
      <c r="AG5" s="592"/>
      <c r="AH5" s="768">
        <f>U17</f>
        <v>3.12</v>
      </c>
    </row>
    <row r="6" spans="1:35" ht="37.5" customHeight="1" thickBot="1">
      <c r="R6" s="590"/>
      <c r="S6" s="590"/>
      <c r="AE6" s="590" t="s">
        <v>231</v>
      </c>
      <c r="AF6" s="763"/>
      <c r="AG6" s="762">
        <f>AG17</f>
        <v>77058.27</v>
      </c>
    </row>
    <row r="7" spans="1:35" ht="30.75" customHeight="1" thickBot="1">
      <c r="A7" s="606" t="s">
        <v>232</v>
      </c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8"/>
      <c r="R7" s="1441" t="s">
        <v>232</v>
      </c>
      <c r="S7" s="1442"/>
      <c r="T7" s="1441" t="s">
        <v>233</v>
      </c>
      <c r="U7" s="1441" t="s">
        <v>234</v>
      </c>
      <c r="V7" s="1441" t="s">
        <v>235</v>
      </c>
      <c r="W7" s="1443" t="s">
        <v>5</v>
      </c>
      <c r="X7" s="1441" t="s">
        <v>24</v>
      </c>
      <c r="Y7" s="1441"/>
      <c r="Z7" s="1441" t="s">
        <v>123</v>
      </c>
      <c r="AA7" s="1441"/>
      <c r="AB7" s="1441"/>
      <c r="AC7" s="1441"/>
      <c r="AD7" s="1443" t="s">
        <v>7</v>
      </c>
      <c r="AE7" s="1443"/>
      <c r="AF7" s="1452" t="s">
        <v>351</v>
      </c>
      <c r="AG7" s="1444" t="s">
        <v>236</v>
      </c>
      <c r="AH7" s="1445" t="s">
        <v>196</v>
      </c>
    </row>
    <row r="8" spans="1:35" ht="83.25" customHeight="1" thickBot="1">
      <c r="A8" s="1446" t="s">
        <v>237</v>
      </c>
      <c r="B8" s="1447"/>
      <c r="C8" s="1447"/>
      <c r="D8" s="1447"/>
      <c r="E8" s="1447"/>
      <c r="F8" s="1447"/>
      <c r="G8" s="1447"/>
      <c r="H8" s="1447"/>
      <c r="I8" s="1447"/>
      <c r="J8" s="1447"/>
      <c r="K8" s="1447"/>
      <c r="L8" s="1447"/>
      <c r="M8" s="1447"/>
      <c r="N8" s="1447"/>
      <c r="O8" s="1447"/>
      <c r="P8" s="1447"/>
      <c r="Q8" s="1447"/>
      <c r="R8" s="817" t="s">
        <v>237</v>
      </c>
      <c r="S8" s="817" t="s">
        <v>1</v>
      </c>
      <c r="T8" s="1441"/>
      <c r="U8" s="1441"/>
      <c r="V8" s="1441"/>
      <c r="W8" s="1443"/>
      <c r="X8" s="609" t="s">
        <v>238</v>
      </c>
      <c r="Y8" s="817" t="s">
        <v>292</v>
      </c>
      <c r="Z8" s="817" t="s">
        <v>238</v>
      </c>
      <c r="AA8" s="817" t="s">
        <v>352</v>
      </c>
      <c r="AB8" s="817" t="s">
        <v>238</v>
      </c>
      <c r="AC8" s="817" t="s">
        <v>241</v>
      </c>
      <c r="AD8" s="817" t="s">
        <v>238</v>
      </c>
      <c r="AE8" s="769" t="s">
        <v>243</v>
      </c>
      <c r="AF8" s="1453"/>
      <c r="AG8" s="1444"/>
      <c r="AH8" s="1445"/>
    </row>
    <row r="9" spans="1:35" s="830" customFormat="1" ht="18.75" customHeight="1" thickBot="1">
      <c r="A9" s="1561">
        <v>1</v>
      </c>
      <c r="B9" s="1562"/>
      <c r="C9" s="1562"/>
      <c r="D9" s="1562"/>
      <c r="E9" s="1562"/>
      <c r="F9" s="1562"/>
      <c r="G9" s="1562"/>
      <c r="H9" s="1562"/>
      <c r="I9" s="1562"/>
      <c r="J9" s="1562"/>
      <c r="K9" s="1562"/>
      <c r="L9" s="1562"/>
      <c r="M9" s="1562"/>
      <c r="N9" s="1562"/>
      <c r="O9" s="1562"/>
      <c r="P9" s="1562"/>
      <c r="Q9" s="1562"/>
      <c r="R9" s="820">
        <v>1</v>
      </c>
      <c r="S9" s="828">
        <v>2</v>
      </c>
      <c r="T9" s="820">
        <v>3</v>
      </c>
      <c r="U9" s="820">
        <v>4</v>
      </c>
      <c r="V9" s="820">
        <v>5</v>
      </c>
      <c r="W9" s="820">
        <v>6</v>
      </c>
      <c r="X9" s="820">
        <v>7</v>
      </c>
      <c r="Y9" s="820">
        <v>8</v>
      </c>
      <c r="Z9" s="820">
        <v>9</v>
      </c>
      <c r="AA9" s="820">
        <v>10</v>
      </c>
      <c r="AB9" s="820">
        <v>13</v>
      </c>
      <c r="AC9" s="820">
        <v>14</v>
      </c>
      <c r="AD9" s="820">
        <v>17</v>
      </c>
      <c r="AE9" s="820">
        <v>18</v>
      </c>
      <c r="AF9" s="820">
        <v>20</v>
      </c>
      <c r="AG9" s="820">
        <v>19</v>
      </c>
      <c r="AH9" s="829">
        <v>21</v>
      </c>
    </row>
    <row r="10" spans="1:35" ht="28.5" customHeight="1">
      <c r="A10" s="1448" t="s">
        <v>244</v>
      </c>
      <c r="B10" s="1449"/>
      <c r="C10" s="1449"/>
      <c r="D10" s="1449"/>
      <c r="E10" s="1449"/>
      <c r="F10" s="1449"/>
      <c r="G10" s="1449"/>
      <c r="H10" s="1449"/>
      <c r="I10" s="1449"/>
      <c r="J10" s="1449"/>
      <c r="K10" s="1449"/>
      <c r="L10" s="1449"/>
      <c r="M10" s="1449"/>
      <c r="N10" s="1449"/>
      <c r="O10" s="1449"/>
      <c r="P10" s="1449"/>
      <c r="Q10" s="1449"/>
      <c r="R10" s="1558" t="s">
        <v>245</v>
      </c>
      <c r="S10" s="820">
        <v>1</v>
      </c>
      <c r="T10" s="821" t="s">
        <v>246</v>
      </c>
      <c r="U10" s="617">
        <v>1</v>
      </c>
      <c r="V10" s="618">
        <v>9718</v>
      </c>
      <c r="W10" s="619">
        <f t="shared" ref="W10:W13" si="0">U10*V10</f>
        <v>9718</v>
      </c>
      <c r="X10" s="620">
        <v>0.25</v>
      </c>
      <c r="Y10" s="621">
        <f>W10*X10</f>
        <v>2429.5</v>
      </c>
      <c r="Z10" s="620">
        <v>0.39</v>
      </c>
      <c r="AA10" s="621">
        <f>W10*Z10</f>
        <v>3790.02</v>
      </c>
      <c r="AB10" s="770"/>
      <c r="AC10" s="621"/>
      <c r="AD10" s="620">
        <v>0.6</v>
      </c>
      <c r="AE10" s="622">
        <f>(W10+Y10+AA10+AC10)*AD10</f>
        <v>9562.5120000000006</v>
      </c>
      <c r="AF10" s="623">
        <f>W10*37%*1.6</f>
        <v>5753.0560000000005</v>
      </c>
      <c r="AG10" s="623">
        <f>AF10+AE10+AC10+AA10+Y10+W10</f>
        <v>31253.088</v>
      </c>
      <c r="AH10" s="624">
        <f>AG10*12</f>
        <v>375037.05599999998</v>
      </c>
    </row>
    <row r="11" spans="1:35" ht="39" customHeight="1">
      <c r="A11" s="1450"/>
      <c r="B11" s="1451"/>
      <c r="C11" s="1451"/>
      <c r="D11" s="1451"/>
      <c r="E11" s="1451"/>
      <c r="F11" s="1451"/>
      <c r="G11" s="1451"/>
      <c r="H11" s="1451"/>
      <c r="I11" s="1451"/>
      <c r="J11" s="1451"/>
      <c r="K11" s="1451"/>
      <c r="L11" s="1451"/>
      <c r="M11" s="1451"/>
      <c r="N11" s="1451"/>
      <c r="O11" s="1451"/>
      <c r="P11" s="1451"/>
      <c r="Q11" s="1451"/>
      <c r="R11" s="1559"/>
      <c r="S11" s="820">
        <v>2</v>
      </c>
      <c r="T11" s="821" t="s">
        <v>247</v>
      </c>
      <c r="U11" s="617">
        <v>0.25</v>
      </c>
      <c r="V11" s="618">
        <v>3511</v>
      </c>
      <c r="W11" s="619">
        <f t="shared" si="0"/>
        <v>877.75</v>
      </c>
      <c r="X11" s="625"/>
      <c r="Y11" s="621">
        <f>W11*X11</f>
        <v>0</v>
      </c>
      <c r="Z11" s="625">
        <v>1.2</v>
      </c>
      <c r="AA11" s="621">
        <f>W11*Z11</f>
        <v>1053.3</v>
      </c>
      <c r="AB11" s="625">
        <v>0.25</v>
      </c>
      <c r="AC11" s="621">
        <f>W11*AB11</f>
        <v>219.4375</v>
      </c>
      <c r="AD11" s="625">
        <v>0.6</v>
      </c>
      <c r="AE11" s="622">
        <f>(W11+Y11+AA11+AC11)*AD11</f>
        <v>1290.2925</v>
      </c>
      <c r="AF11" s="623"/>
      <c r="AG11" s="623">
        <f t="shared" ref="AG11:AG13" si="1">AF11+AE11+AC11+AA11+Y11+W11</f>
        <v>3440.7799999999997</v>
      </c>
      <c r="AH11" s="624">
        <f>AG11*12</f>
        <v>41289.360000000001</v>
      </c>
    </row>
    <row r="12" spans="1:35" ht="42" customHeight="1">
      <c r="A12" s="1450"/>
      <c r="B12" s="1451"/>
      <c r="C12" s="1451"/>
      <c r="D12" s="1451"/>
      <c r="E12" s="1451"/>
      <c r="F12" s="1451"/>
      <c r="G12" s="1451"/>
      <c r="H12" s="1451"/>
      <c r="I12" s="1451"/>
      <c r="J12" s="1451"/>
      <c r="K12" s="1451"/>
      <c r="L12" s="1451"/>
      <c r="M12" s="1451"/>
      <c r="N12" s="1451"/>
      <c r="O12" s="1451"/>
      <c r="P12" s="1451"/>
      <c r="Q12" s="1451"/>
      <c r="R12" s="1559"/>
      <c r="S12" s="819">
        <v>3</v>
      </c>
      <c r="T12" s="821" t="s">
        <v>248</v>
      </c>
      <c r="U12" s="617">
        <v>1.25</v>
      </c>
      <c r="V12" s="618">
        <v>6208</v>
      </c>
      <c r="W12" s="619">
        <f t="shared" si="0"/>
        <v>7760</v>
      </c>
      <c r="X12" s="625">
        <v>0.25</v>
      </c>
      <c r="Y12" s="621">
        <f t="shared" ref="Y12" si="2">W12*X12</f>
        <v>1940</v>
      </c>
      <c r="Z12" s="625">
        <v>0.85</v>
      </c>
      <c r="AA12" s="621">
        <f t="shared" ref="AA12" si="3">W12*Z12</f>
        <v>6596</v>
      </c>
      <c r="AB12" s="771"/>
      <c r="AC12" s="621">
        <f>W12*AB12</f>
        <v>0</v>
      </c>
      <c r="AD12" s="625">
        <v>0.6</v>
      </c>
      <c r="AE12" s="622">
        <f t="shared" ref="AE12:AE13" si="4">(W12+Y12+AA12+AC12)*AD12</f>
        <v>9777.6</v>
      </c>
      <c r="AF12" s="623">
        <f>W12*29%*1.6</f>
        <v>3600.6399999999994</v>
      </c>
      <c r="AG12" s="623">
        <f t="shared" si="1"/>
        <v>29674.239999999998</v>
      </c>
      <c r="AH12" s="624">
        <f>AG12*12</f>
        <v>356090.88</v>
      </c>
    </row>
    <row r="13" spans="1:35" ht="53.25" customHeight="1" thickBot="1">
      <c r="A13" s="818"/>
      <c r="B13" s="818"/>
      <c r="C13" s="818"/>
      <c r="D13" s="818"/>
      <c r="E13" s="818"/>
      <c r="F13" s="818"/>
      <c r="G13" s="818"/>
      <c r="H13" s="818"/>
      <c r="I13" s="818"/>
      <c r="J13" s="818"/>
      <c r="K13" s="818"/>
      <c r="L13" s="818"/>
      <c r="M13" s="818"/>
      <c r="N13" s="818"/>
      <c r="O13" s="818"/>
      <c r="P13" s="818"/>
      <c r="Q13" s="818"/>
      <c r="R13" s="1560"/>
      <c r="S13" s="764">
        <v>4</v>
      </c>
      <c r="T13" s="772" t="s">
        <v>85</v>
      </c>
      <c r="U13" s="646">
        <v>0.62</v>
      </c>
      <c r="V13" s="773">
        <v>3016</v>
      </c>
      <c r="W13" s="774">
        <f t="shared" si="0"/>
        <v>1869.92</v>
      </c>
      <c r="X13" s="775"/>
      <c r="Y13" s="649"/>
      <c r="Z13" s="775"/>
      <c r="AA13" s="649"/>
      <c r="AB13" s="648"/>
      <c r="AC13" s="649"/>
      <c r="AD13" s="775">
        <v>0.6</v>
      </c>
      <c r="AE13" s="622">
        <f t="shared" si="4"/>
        <v>1121.952</v>
      </c>
      <c r="AF13" s="650">
        <v>9698.2900000000009</v>
      </c>
      <c r="AG13" s="623">
        <f t="shared" si="1"/>
        <v>12690.162</v>
      </c>
      <c r="AH13" s="624">
        <f>AG13*12</f>
        <v>152281.94400000002</v>
      </c>
      <c r="AI13" s="657" t="e">
        <f>AG13+#REF!</f>
        <v>#REF!</v>
      </c>
    </row>
    <row r="14" spans="1:35" ht="47.25" customHeight="1" thickBot="1">
      <c r="A14" s="590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765"/>
      <c r="S14" s="766"/>
      <c r="T14" s="778" t="s">
        <v>249</v>
      </c>
      <c r="U14" s="636">
        <f>SUM(U10:U12)+U13</f>
        <v>3.12</v>
      </c>
      <c r="V14" s="636">
        <f t="shared" ref="V14:AH14" si="5">SUM(V10:V12)+V13</f>
        <v>22453</v>
      </c>
      <c r="W14" s="636">
        <f t="shared" si="5"/>
        <v>20225.669999999998</v>
      </c>
      <c r="X14" s="636">
        <f t="shared" si="5"/>
        <v>0.5</v>
      </c>
      <c r="Y14" s="636">
        <f t="shared" si="5"/>
        <v>4369.5</v>
      </c>
      <c r="Z14" s="636">
        <f t="shared" si="5"/>
        <v>2.44</v>
      </c>
      <c r="AA14" s="636">
        <f t="shared" si="5"/>
        <v>11439.32</v>
      </c>
      <c r="AB14" s="636">
        <f t="shared" si="5"/>
        <v>0.25</v>
      </c>
      <c r="AC14" s="636">
        <f t="shared" si="5"/>
        <v>219.4375</v>
      </c>
      <c r="AD14" s="636">
        <f t="shared" si="5"/>
        <v>2.4</v>
      </c>
      <c r="AE14" s="636">
        <f t="shared" si="5"/>
        <v>21752.356500000002</v>
      </c>
      <c r="AF14" s="636">
        <f t="shared" ref="AF14" si="6">SUM(AF10:AF12)+AF13</f>
        <v>19051.986000000001</v>
      </c>
      <c r="AG14" s="636">
        <f t="shared" si="5"/>
        <v>77058.27</v>
      </c>
      <c r="AH14" s="636">
        <f t="shared" si="5"/>
        <v>924699.24</v>
      </c>
    </row>
    <row r="15" spans="1:35" ht="33" customHeight="1">
      <c r="R15" s="1563" t="s">
        <v>250</v>
      </c>
      <c r="S15" s="1564"/>
      <c r="T15" s="1565"/>
      <c r="U15" s="779"/>
      <c r="V15" s="779"/>
      <c r="W15" s="779"/>
      <c r="X15" s="779"/>
      <c r="Y15" s="779"/>
      <c r="Z15" s="779"/>
      <c r="AA15" s="779"/>
      <c r="AB15" s="779"/>
      <c r="AC15" s="779"/>
      <c r="AD15" s="779"/>
      <c r="AE15" s="779"/>
      <c r="AF15" s="780"/>
      <c r="AG15" s="780"/>
      <c r="AH15" s="780">
        <f>AG15*12</f>
        <v>0</v>
      </c>
    </row>
    <row r="16" spans="1:35" ht="37.5" customHeight="1" thickBot="1">
      <c r="R16" s="1566" t="s">
        <v>347</v>
      </c>
      <c r="S16" s="1567"/>
      <c r="T16" s="1568"/>
      <c r="U16" s="781"/>
      <c r="V16" s="781"/>
      <c r="W16" s="781"/>
      <c r="X16" s="781"/>
      <c r="Y16" s="781"/>
      <c r="Z16" s="781"/>
      <c r="AA16" s="781"/>
      <c r="AB16" s="781"/>
      <c r="AC16" s="781"/>
      <c r="AD16" s="781"/>
      <c r="AE16" s="781"/>
      <c r="AF16" s="777"/>
      <c r="AG16" s="777"/>
      <c r="AH16" s="780">
        <f>AG16*12</f>
        <v>0</v>
      </c>
    </row>
    <row r="17" spans="1:34" ht="13.5" thickBot="1">
      <c r="R17" s="1454" t="s">
        <v>251</v>
      </c>
      <c r="S17" s="1455"/>
      <c r="T17" s="1456"/>
      <c r="U17" s="782">
        <f t="shared" ref="U17:AH17" si="7">U14+U15+U16</f>
        <v>3.12</v>
      </c>
      <c r="V17" s="782">
        <f t="shared" si="7"/>
        <v>22453</v>
      </c>
      <c r="W17" s="782">
        <f t="shared" si="7"/>
        <v>20225.669999999998</v>
      </c>
      <c r="X17" s="782">
        <f t="shared" si="7"/>
        <v>0.5</v>
      </c>
      <c r="Y17" s="782">
        <f t="shared" si="7"/>
        <v>4369.5</v>
      </c>
      <c r="Z17" s="782">
        <f t="shared" si="7"/>
        <v>2.44</v>
      </c>
      <c r="AA17" s="782">
        <f t="shared" si="7"/>
        <v>11439.32</v>
      </c>
      <c r="AB17" s="782">
        <f t="shared" si="7"/>
        <v>0.25</v>
      </c>
      <c r="AC17" s="782">
        <f t="shared" si="7"/>
        <v>219.4375</v>
      </c>
      <c r="AD17" s="782">
        <f t="shared" si="7"/>
        <v>2.4</v>
      </c>
      <c r="AE17" s="782">
        <f t="shared" si="7"/>
        <v>21752.356500000002</v>
      </c>
      <c r="AF17" s="782">
        <f t="shared" si="7"/>
        <v>19051.986000000001</v>
      </c>
      <c r="AG17" s="782">
        <f t="shared" si="7"/>
        <v>77058.27</v>
      </c>
      <c r="AH17" s="782">
        <f t="shared" si="7"/>
        <v>924699.24</v>
      </c>
    </row>
    <row r="20" spans="1:34">
      <c r="A20" s="589" t="s">
        <v>252</v>
      </c>
      <c r="D20" s="752" t="s">
        <v>253</v>
      </c>
      <c r="E20" s="1457" t="s">
        <v>254</v>
      </c>
      <c r="F20" s="1457"/>
      <c r="R20" s="589" t="s">
        <v>252</v>
      </c>
      <c r="U20" s="589" t="s">
        <v>254</v>
      </c>
      <c r="AG20" s="657">
        <f>AG10+AG11+AG12+AG15</f>
        <v>64368.108</v>
      </c>
    </row>
    <row r="21" spans="1:34">
      <c r="L21" s="753"/>
      <c r="AG21" s="767"/>
    </row>
    <row r="22" spans="1:34">
      <c r="A22" s="589" t="s">
        <v>104</v>
      </c>
      <c r="E22" s="1440" t="s">
        <v>189</v>
      </c>
      <c r="F22" s="1440"/>
      <c r="R22" s="589" t="s">
        <v>104</v>
      </c>
      <c r="U22" s="589" t="s">
        <v>189</v>
      </c>
    </row>
  </sheetData>
  <mergeCells count="21">
    <mergeCell ref="R15:T15"/>
    <mergeCell ref="R16:T16"/>
    <mergeCell ref="R17:T17"/>
    <mergeCell ref="E20:F20"/>
    <mergeCell ref="E22:F22"/>
    <mergeCell ref="AF7:AF8"/>
    <mergeCell ref="AG7:AG8"/>
    <mergeCell ref="AH7:AH8"/>
    <mergeCell ref="A8:Q8"/>
    <mergeCell ref="A9:Q9"/>
    <mergeCell ref="A10:Q12"/>
    <mergeCell ref="R10:R13"/>
    <mergeCell ref="AD2:AE2"/>
    <mergeCell ref="R7:S7"/>
    <mergeCell ref="T7:T8"/>
    <mergeCell ref="U7:U8"/>
    <mergeCell ref="V7:V8"/>
    <mergeCell ref="W7:W8"/>
    <mergeCell ref="X7:Y7"/>
    <mergeCell ref="Z7:AC7"/>
    <mergeCell ref="AD7:AE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I91"/>
  <sheetViews>
    <sheetView topLeftCell="R7" workbookViewId="0">
      <selection activeCell="AB12" sqref="AB12"/>
    </sheetView>
  </sheetViews>
  <sheetFormatPr defaultRowHeight="12.75"/>
  <cols>
    <col min="1" max="1" width="15.85546875" style="589" hidden="1" customWidth="1"/>
    <col min="2" max="2" width="16.85546875" style="589" hidden="1" customWidth="1"/>
    <col min="3" max="3" width="12.42578125" style="589" hidden="1" customWidth="1"/>
    <col min="4" max="17" width="9.140625" style="589" hidden="1" customWidth="1"/>
    <col min="18" max="18" width="14.140625" style="589" customWidth="1"/>
    <col min="19" max="19" width="12" style="589" customWidth="1"/>
    <col min="20" max="20" width="13.28515625" style="589" customWidth="1"/>
    <col min="21" max="21" width="8" style="589" customWidth="1"/>
    <col min="22" max="22" width="12.42578125" style="589" customWidth="1"/>
    <col min="23" max="23" width="12" style="589" customWidth="1"/>
    <col min="24" max="24" width="8.28515625" style="589" customWidth="1"/>
    <col min="25" max="25" width="10.5703125" style="589" customWidth="1"/>
    <col min="26" max="26" width="7.28515625" style="589" customWidth="1"/>
    <col min="27" max="27" width="13" style="589" customWidth="1"/>
    <col min="28" max="28" width="7" style="589" customWidth="1"/>
    <col min="29" max="29" width="9.7109375" style="589" customWidth="1"/>
    <col min="30" max="30" width="8.42578125" style="589" customWidth="1"/>
    <col min="31" max="32" width="12.7109375" style="589" customWidth="1"/>
    <col min="33" max="33" width="13.5703125" style="589" customWidth="1"/>
    <col min="34" max="34" width="15.28515625" style="589" customWidth="1"/>
    <col min="35" max="35" width="12.5703125" style="589" hidden="1" customWidth="1"/>
    <col min="36" max="16384" width="9.140625" style="589"/>
  </cols>
  <sheetData>
    <row r="1" spans="1:35">
      <c r="N1" s="589" t="s">
        <v>397</v>
      </c>
      <c r="AD1" s="589" t="s">
        <v>397</v>
      </c>
    </row>
    <row r="2" spans="1:35">
      <c r="A2" s="590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1439" t="s">
        <v>0</v>
      </c>
      <c r="O2" s="1439"/>
      <c r="P2" s="1440"/>
      <c r="Q2" s="1440"/>
      <c r="R2" s="1056"/>
      <c r="AD2" s="1439" t="s">
        <v>0</v>
      </c>
      <c r="AE2" s="1439"/>
      <c r="AF2" s="1440"/>
      <c r="AG2" s="1440"/>
      <c r="AH2" s="1056"/>
    </row>
    <row r="3" spans="1:35" ht="18" customHeight="1"/>
    <row r="4" spans="1:35" ht="50.25" customHeight="1">
      <c r="R4" s="590"/>
      <c r="S4" s="590"/>
      <c r="AD4" s="1440"/>
      <c r="AE4" s="1440"/>
      <c r="AF4" s="822"/>
      <c r="AG4" s="822"/>
      <c r="AH4" s="590"/>
    </row>
    <row r="5" spans="1:35">
      <c r="V5" s="589" t="s">
        <v>222</v>
      </c>
      <c r="AC5" s="590" t="s">
        <v>2</v>
      </c>
      <c r="AE5" s="590" t="s">
        <v>225</v>
      </c>
      <c r="AF5" s="592"/>
      <c r="AG5" s="592"/>
    </row>
    <row r="6" spans="1:35" ht="13.5" thickBot="1">
      <c r="R6" s="590"/>
      <c r="S6" s="590"/>
      <c r="U6" s="589" t="s">
        <v>226</v>
      </c>
      <c r="AC6" s="590" t="s">
        <v>4</v>
      </c>
      <c r="AE6" s="590" t="s">
        <v>256</v>
      </c>
      <c r="AF6" s="592"/>
      <c r="AG6" s="592"/>
    </row>
    <row r="7" spans="1:35" ht="24" customHeight="1" thickBot="1">
      <c r="R7" s="590"/>
      <c r="S7" s="590"/>
      <c r="U7" s="589" t="s">
        <v>229</v>
      </c>
      <c r="W7" s="589" t="s">
        <v>398</v>
      </c>
      <c r="AE7" s="590" t="s">
        <v>230</v>
      </c>
      <c r="AF7" s="592"/>
      <c r="AG7" s="592"/>
      <c r="AH7" s="768">
        <f>U19</f>
        <v>3.35</v>
      </c>
    </row>
    <row r="8" spans="1:35" ht="37.5" customHeight="1" thickBot="1">
      <c r="R8" s="590"/>
      <c r="S8" s="590"/>
      <c r="AE8" s="590" t="s">
        <v>231</v>
      </c>
      <c r="AF8" s="763"/>
      <c r="AG8" s="762">
        <f>AG19</f>
        <v>87655.203999999998</v>
      </c>
    </row>
    <row r="9" spans="1:35" ht="43.5" customHeight="1" thickBot="1">
      <c r="A9" s="606" t="s">
        <v>232</v>
      </c>
      <c r="B9" s="607"/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8"/>
      <c r="R9" s="1441" t="s">
        <v>232</v>
      </c>
      <c r="S9" s="1442"/>
      <c r="T9" s="1441" t="s">
        <v>233</v>
      </c>
      <c r="U9" s="1441" t="s">
        <v>234</v>
      </c>
      <c r="V9" s="1441" t="s">
        <v>235</v>
      </c>
      <c r="W9" s="1443" t="s">
        <v>5</v>
      </c>
      <c r="X9" s="1441" t="s">
        <v>24</v>
      </c>
      <c r="Y9" s="1441"/>
      <c r="Z9" s="1441" t="s">
        <v>123</v>
      </c>
      <c r="AA9" s="1441"/>
      <c r="AB9" s="1441"/>
      <c r="AC9" s="1441"/>
      <c r="AD9" s="1443" t="s">
        <v>7</v>
      </c>
      <c r="AE9" s="1443"/>
      <c r="AF9" s="1452" t="s">
        <v>351</v>
      </c>
      <c r="AG9" s="1444" t="s">
        <v>236</v>
      </c>
      <c r="AH9" s="1445" t="s">
        <v>196</v>
      </c>
    </row>
    <row r="10" spans="1:35" ht="83.25" customHeight="1" thickBot="1">
      <c r="A10" s="1446" t="s">
        <v>237</v>
      </c>
      <c r="B10" s="1447"/>
      <c r="C10" s="1447"/>
      <c r="D10" s="1447"/>
      <c r="E10" s="1447"/>
      <c r="F10" s="1447"/>
      <c r="G10" s="1447"/>
      <c r="H10" s="1447"/>
      <c r="I10" s="1447"/>
      <c r="J10" s="1447"/>
      <c r="K10" s="1447"/>
      <c r="L10" s="1447"/>
      <c r="M10" s="1447"/>
      <c r="N10" s="1447"/>
      <c r="O10" s="1447"/>
      <c r="P10" s="1447"/>
      <c r="Q10" s="1447"/>
      <c r="R10" s="1057" t="s">
        <v>237</v>
      </c>
      <c r="S10" s="823" t="s">
        <v>1</v>
      </c>
      <c r="T10" s="1441"/>
      <c r="U10" s="1441"/>
      <c r="V10" s="1441"/>
      <c r="W10" s="1443"/>
      <c r="X10" s="609" t="s">
        <v>238</v>
      </c>
      <c r="Y10" s="823" t="s">
        <v>292</v>
      </c>
      <c r="Z10" s="823" t="s">
        <v>238</v>
      </c>
      <c r="AA10" s="823" t="s">
        <v>352</v>
      </c>
      <c r="AB10" s="823" t="s">
        <v>238</v>
      </c>
      <c r="AC10" s="823" t="s">
        <v>241</v>
      </c>
      <c r="AD10" s="823" t="s">
        <v>238</v>
      </c>
      <c r="AE10" s="769" t="s">
        <v>243</v>
      </c>
      <c r="AF10" s="1453"/>
      <c r="AG10" s="1444"/>
      <c r="AH10" s="1445"/>
    </row>
    <row r="11" spans="1:35" s="830" customFormat="1" ht="18.75" customHeight="1" thickBot="1">
      <c r="A11" s="1561">
        <v>1</v>
      </c>
      <c r="B11" s="1562"/>
      <c r="C11" s="1562"/>
      <c r="D11" s="1562"/>
      <c r="E11" s="1562"/>
      <c r="F11" s="1562"/>
      <c r="G11" s="1562"/>
      <c r="H11" s="1562"/>
      <c r="I11" s="1562"/>
      <c r="J11" s="1562"/>
      <c r="K11" s="1562"/>
      <c r="L11" s="1562"/>
      <c r="M11" s="1562"/>
      <c r="N11" s="1562"/>
      <c r="O11" s="1562"/>
      <c r="P11" s="1562"/>
      <c r="Q11" s="1562"/>
      <c r="R11" s="827">
        <v>1</v>
      </c>
      <c r="S11" s="828">
        <v>2</v>
      </c>
      <c r="T11" s="827">
        <v>3</v>
      </c>
      <c r="U11" s="827">
        <v>4</v>
      </c>
      <c r="V11" s="827">
        <v>5</v>
      </c>
      <c r="W11" s="827">
        <v>6</v>
      </c>
      <c r="X11" s="827">
        <v>7</v>
      </c>
      <c r="Y11" s="827">
        <v>8</v>
      </c>
      <c r="Z11" s="827">
        <v>9</v>
      </c>
      <c r="AA11" s="827">
        <v>10</v>
      </c>
      <c r="AB11" s="827">
        <v>13</v>
      </c>
      <c r="AC11" s="827">
        <v>14</v>
      </c>
      <c r="AD11" s="827">
        <v>17</v>
      </c>
      <c r="AE11" s="827">
        <v>18</v>
      </c>
      <c r="AF11" s="827">
        <v>20</v>
      </c>
      <c r="AG11" s="827">
        <v>19</v>
      </c>
      <c r="AH11" s="829">
        <v>21</v>
      </c>
    </row>
    <row r="12" spans="1:35" ht="28.5" customHeight="1">
      <c r="A12" s="1448" t="s">
        <v>244</v>
      </c>
      <c r="B12" s="1449"/>
      <c r="C12" s="1449"/>
      <c r="D12" s="1449"/>
      <c r="E12" s="1449"/>
      <c r="F12" s="1449"/>
      <c r="G12" s="1449"/>
      <c r="H12" s="1449"/>
      <c r="I12" s="1449"/>
      <c r="J12" s="1449"/>
      <c r="K12" s="1449"/>
      <c r="L12" s="1449"/>
      <c r="M12" s="1449"/>
      <c r="N12" s="1449"/>
      <c r="O12" s="1449"/>
      <c r="P12" s="1449"/>
      <c r="Q12" s="1449"/>
      <c r="R12" s="1558" t="s">
        <v>245</v>
      </c>
      <c r="S12" s="827">
        <v>1</v>
      </c>
      <c r="T12" s="826" t="s">
        <v>246</v>
      </c>
      <c r="U12" s="617">
        <v>1</v>
      </c>
      <c r="V12" s="1058">
        <v>10554</v>
      </c>
      <c r="W12" s="619">
        <f t="shared" ref="W12:W15" si="0">U12*V12</f>
        <v>10554</v>
      </c>
      <c r="X12" s="620">
        <v>0.25</v>
      </c>
      <c r="Y12" s="621">
        <f>W12*X12</f>
        <v>2638.5</v>
      </c>
      <c r="Z12" s="620">
        <v>0.39</v>
      </c>
      <c r="AA12" s="621">
        <f>W12*Z12</f>
        <v>4116.0600000000004</v>
      </c>
      <c r="AB12" s="770"/>
      <c r="AC12" s="621"/>
      <c r="AD12" s="620">
        <v>0.6</v>
      </c>
      <c r="AE12" s="622">
        <f>(W12+Y12+AA12+AC12)*AD12</f>
        <v>10385.136</v>
      </c>
      <c r="AF12" s="623">
        <f>W12*37%*1.6</f>
        <v>6247.9680000000008</v>
      </c>
      <c r="AG12" s="623">
        <f>AF12+AE12+AC12+AA12+Y12+W12</f>
        <v>33941.664000000004</v>
      </c>
      <c r="AH12" s="624">
        <f>AG12*12</f>
        <v>407299.96800000005</v>
      </c>
    </row>
    <row r="13" spans="1:35" ht="39" customHeight="1">
      <c r="A13" s="1450"/>
      <c r="B13" s="1451"/>
      <c r="C13" s="1451"/>
      <c r="D13" s="1451"/>
      <c r="E13" s="1451"/>
      <c r="F13" s="1451"/>
      <c r="G13" s="1451"/>
      <c r="H13" s="1451"/>
      <c r="I13" s="1451"/>
      <c r="J13" s="1451"/>
      <c r="K13" s="1451"/>
      <c r="L13" s="1451"/>
      <c r="M13" s="1451"/>
      <c r="N13" s="1451"/>
      <c r="O13" s="1451"/>
      <c r="P13" s="1451"/>
      <c r="Q13" s="1451"/>
      <c r="R13" s="1559"/>
      <c r="S13" s="827">
        <v>2</v>
      </c>
      <c r="T13" s="826" t="s">
        <v>247</v>
      </c>
      <c r="U13" s="617">
        <v>0.25</v>
      </c>
      <c r="V13" s="272">
        <v>3813</v>
      </c>
      <c r="W13" s="619">
        <f t="shared" si="0"/>
        <v>953.25</v>
      </c>
      <c r="X13" s="625"/>
      <c r="Y13" s="621">
        <f>W13*X13</f>
        <v>0</v>
      </c>
      <c r="Z13" s="625">
        <v>1.2</v>
      </c>
      <c r="AA13" s="621">
        <f>W13*Z13</f>
        <v>1143.8999999999999</v>
      </c>
      <c r="AB13" s="625">
        <v>0.25</v>
      </c>
      <c r="AC13" s="621">
        <f>W13*AB13</f>
        <v>238.3125</v>
      </c>
      <c r="AD13" s="625">
        <v>0.6</v>
      </c>
      <c r="AE13" s="622">
        <f>(W13+Y13+AA13+AC13)*AD13</f>
        <v>1401.2774999999997</v>
      </c>
      <c r="AF13" s="623"/>
      <c r="AG13" s="623">
        <f t="shared" ref="AG13:AG15" si="1">AF13+AE13+AC13+AA13+Y13+W13</f>
        <v>3736.74</v>
      </c>
      <c r="AH13" s="624">
        <f>AG13*12</f>
        <v>44840.88</v>
      </c>
    </row>
    <row r="14" spans="1:35" ht="42" customHeight="1">
      <c r="A14" s="1450"/>
      <c r="B14" s="1451"/>
      <c r="C14" s="1451"/>
      <c r="D14" s="1451"/>
      <c r="E14" s="1451"/>
      <c r="F14" s="1451"/>
      <c r="G14" s="1451"/>
      <c r="H14" s="1451"/>
      <c r="I14" s="1451"/>
      <c r="J14" s="1451"/>
      <c r="K14" s="1451"/>
      <c r="L14" s="1451"/>
      <c r="M14" s="1451"/>
      <c r="N14" s="1451"/>
      <c r="O14" s="1451"/>
      <c r="P14" s="1451"/>
      <c r="Q14" s="1451"/>
      <c r="R14" s="1559"/>
      <c r="S14" s="825">
        <v>3</v>
      </c>
      <c r="T14" s="826" t="s">
        <v>248</v>
      </c>
      <c r="U14" s="617">
        <v>1.25</v>
      </c>
      <c r="V14" s="272">
        <v>6742</v>
      </c>
      <c r="W14" s="619">
        <f t="shared" si="0"/>
        <v>8427.5</v>
      </c>
      <c r="X14" s="625">
        <v>0.25</v>
      </c>
      <c r="Y14" s="621">
        <f t="shared" ref="Y14" si="2">W14*X14</f>
        <v>2106.875</v>
      </c>
      <c r="Z14" s="625">
        <v>0.85</v>
      </c>
      <c r="AA14" s="621">
        <f t="shared" ref="AA14" si="3">W14*Z14</f>
        <v>7163.375</v>
      </c>
      <c r="AB14" s="771"/>
      <c r="AC14" s="621">
        <f>W14*AB14</f>
        <v>0</v>
      </c>
      <c r="AD14" s="625">
        <v>0.6</v>
      </c>
      <c r="AE14" s="622">
        <f t="shared" ref="AE14:AE15" si="4">(W14+Y14+AA14+AC14)*AD14</f>
        <v>10618.65</v>
      </c>
      <c r="AF14" s="623">
        <f>W14*29%*1.6</f>
        <v>3910.36</v>
      </c>
      <c r="AG14" s="623">
        <f t="shared" si="1"/>
        <v>32226.760000000002</v>
      </c>
      <c r="AH14" s="624">
        <f>AG14*12</f>
        <v>386721.12</v>
      </c>
    </row>
    <row r="15" spans="1:35" ht="53.25" customHeight="1" thickBot="1">
      <c r="A15" s="824"/>
      <c r="B15" s="824"/>
      <c r="C15" s="824"/>
      <c r="D15" s="824"/>
      <c r="E15" s="824"/>
      <c r="F15" s="824"/>
      <c r="G15" s="824"/>
      <c r="H15" s="824"/>
      <c r="I15" s="824"/>
      <c r="J15" s="824"/>
      <c r="K15" s="824"/>
      <c r="L15" s="824"/>
      <c r="M15" s="824"/>
      <c r="N15" s="824"/>
      <c r="O15" s="824"/>
      <c r="P15" s="824"/>
      <c r="Q15" s="824"/>
      <c r="R15" s="1560"/>
      <c r="S15" s="764">
        <v>4</v>
      </c>
      <c r="T15" s="772" t="s">
        <v>85</v>
      </c>
      <c r="U15" s="646">
        <v>0.85</v>
      </c>
      <c r="V15" s="272">
        <v>3275</v>
      </c>
      <c r="W15" s="774">
        <f t="shared" si="0"/>
        <v>2783.75</v>
      </c>
      <c r="X15" s="775"/>
      <c r="Y15" s="649"/>
      <c r="Z15" s="775"/>
      <c r="AA15" s="649"/>
      <c r="AB15" s="648"/>
      <c r="AC15" s="649"/>
      <c r="AD15" s="775">
        <v>0.6</v>
      </c>
      <c r="AE15" s="622">
        <f t="shared" si="4"/>
        <v>1670.25</v>
      </c>
      <c r="AF15" s="650">
        <v>13296.04</v>
      </c>
      <c r="AG15" s="623">
        <f t="shared" si="1"/>
        <v>17750.04</v>
      </c>
      <c r="AH15" s="624">
        <f>AG15*12</f>
        <v>213000.48</v>
      </c>
      <c r="AI15" s="657" t="e">
        <f>AG15+#REF!</f>
        <v>#REF!</v>
      </c>
    </row>
    <row r="16" spans="1:35" ht="47.25" customHeight="1" thickBot="1">
      <c r="A16" s="590"/>
      <c r="B16" s="590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765"/>
      <c r="S16" s="766"/>
      <c r="T16" s="778" t="s">
        <v>249</v>
      </c>
      <c r="U16" s="636">
        <f>SUM(U12:U14)+U15</f>
        <v>3.35</v>
      </c>
      <c r="V16" s="636">
        <f t="shared" ref="V16:AH16" si="5">SUM(V12:V14)+V15</f>
        <v>24384</v>
      </c>
      <c r="W16" s="636">
        <f t="shared" si="5"/>
        <v>22718.5</v>
      </c>
      <c r="X16" s="636">
        <f t="shared" si="5"/>
        <v>0.5</v>
      </c>
      <c r="Y16" s="636">
        <f t="shared" si="5"/>
        <v>4745.375</v>
      </c>
      <c r="Z16" s="636">
        <f t="shared" si="5"/>
        <v>2.44</v>
      </c>
      <c r="AA16" s="636">
        <f t="shared" si="5"/>
        <v>12423.334999999999</v>
      </c>
      <c r="AB16" s="636">
        <f t="shared" si="5"/>
        <v>0.25</v>
      </c>
      <c r="AC16" s="636">
        <f t="shared" si="5"/>
        <v>238.3125</v>
      </c>
      <c r="AD16" s="636">
        <f t="shared" si="5"/>
        <v>2.4</v>
      </c>
      <c r="AE16" s="636">
        <f t="shared" si="5"/>
        <v>24075.3135</v>
      </c>
      <c r="AF16" s="636">
        <f t="shared" ref="AF16" si="6">SUM(AF12:AF14)+AF15</f>
        <v>23454.368000000002</v>
      </c>
      <c r="AG16" s="636">
        <f t="shared" si="5"/>
        <v>87655.203999999998</v>
      </c>
      <c r="AH16" s="636">
        <f t="shared" si="5"/>
        <v>1051862.4480000001</v>
      </c>
    </row>
    <row r="17" spans="1:34" ht="33" customHeight="1">
      <c r="R17" s="1563" t="s">
        <v>250</v>
      </c>
      <c r="S17" s="1564"/>
      <c r="T17" s="1565"/>
      <c r="U17" s="779"/>
      <c r="V17" s="779"/>
      <c r="W17" s="779"/>
      <c r="X17" s="779"/>
      <c r="Y17" s="779"/>
      <c r="Z17" s="779"/>
      <c r="AA17" s="779"/>
      <c r="AB17" s="779"/>
      <c r="AC17" s="779"/>
      <c r="AD17" s="779"/>
      <c r="AE17" s="779"/>
      <c r="AF17" s="780"/>
      <c r="AG17" s="780"/>
      <c r="AH17" s="780">
        <f>AG17*12</f>
        <v>0</v>
      </c>
    </row>
    <row r="18" spans="1:34" ht="37.5" customHeight="1" thickBot="1">
      <c r="R18" s="1566" t="s">
        <v>347</v>
      </c>
      <c r="S18" s="1567"/>
      <c r="T18" s="1568"/>
      <c r="U18" s="781"/>
      <c r="V18" s="781"/>
      <c r="W18" s="781"/>
      <c r="X18" s="781"/>
      <c r="Y18" s="781"/>
      <c r="Z18" s="781"/>
      <c r="AA18" s="781"/>
      <c r="AB18" s="781"/>
      <c r="AC18" s="781"/>
      <c r="AD18" s="781"/>
      <c r="AE18" s="781"/>
      <c r="AF18" s="777"/>
      <c r="AG18" s="777"/>
      <c r="AH18" s="780">
        <f>AG18*12</f>
        <v>0</v>
      </c>
    </row>
    <row r="19" spans="1:34" ht="13.5" thickBot="1">
      <c r="R19" s="1454" t="s">
        <v>251</v>
      </c>
      <c r="S19" s="1455"/>
      <c r="T19" s="1456"/>
      <c r="U19" s="782">
        <f t="shared" ref="U19:AH19" si="7">U16+U17+U18</f>
        <v>3.35</v>
      </c>
      <c r="V19" s="782">
        <f t="shared" si="7"/>
        <v>24384</v>
      </c>
      <c r="W19" s="782">
        <f t="shared" si="7"/>
        <v>22718.5</v>
      </c>
      <c r="X19" s="782">
        <f t="shared" si="7"/>
        <v>0.5</v>
      </c>
      <c r="Y19" s="782">
        <f t="shared" si="7"/>
        <v>4745.375</v>
      </c>
      <c r="Z19" s="782">
        <f t="shared" si="7"/>
        <v>2.44</v>
      </c>
      <c r="AA19" s="782">
        <f t="shared" si="7"/>
        <v>12423.334999999999</v>
      </c>
      <c r="AB19" s="782">
        <f t="shared" si="7"/>
        <v>0.25</v>
      </c>
      <c r="AC19" s="782">
        <f t="shared" si="7"/>
        <v>238.3125</v>
      </c>
      <c r="AD19" s="782">
        <f t="shared" si="7"/>
        <v>2.4</v>
      </c>
      <c r="AE19" s="782">
        <f t="shared" si="7"/>
        <v>24075.3135</v>
      </c>
      <c r="AF19" s="782">
        <f t="shared" si="7"/>
        <v>23454.368000000002</v>
      </c>
      <c r="AG19" s="782">
        <f t="shared" si="7"/>
        <v>87655.203999999998</v>
      </c>
      <c r="AH19" s="782">
        <f t="shared" si="7"/>
        <v>1051862.4480000001</v>
      </c>
    </row>
    <row r="22" spans="1:34">
      <c r="A22" s="589" t="s">
        <v>252</v>
      </c>
      <c r="D22" s="752" t="s">
        <v>253</v>
      </c>
      <c r="E22" s="1457" t="s">
        <v>254</v>
      </c>
      <c r="F22" s="1457"/>
      <c r="R22" s="589" t="s">
        <v>252</v>
      </c>
      <c r="U22" s="589" t="s">
        <v>254</v>
      </c>
      <c r="AG22" s="657"/>
    </row>
    <row r="23" spans="1:34">
      <c r="L23" s="753"/>
      <c r="AG23" s="767"/>
    </row>
    <row r="24" spans="1:34">
      <c r="A24" s="589" t="s">
        <v>104</v>
      </c>
      <c r="E24" s="1440" t="s">
        <v>189</v>
      </c>
      <c r="F24" s="1440"/>
      <c r="R24" s="589" t="s">
        <v>104</v>
      </c>
      <c r="U24" s="589" t="s">
        <v>189</v>
      </c>
    </row>
    <row r="30" spans="1:34" customFormat="1" ht="32.25" customHeight="1">
      <c r="A30" s="1574" t="s">
        <v>232</v>
      </c>
      <c r="B30" s="1575"/>
      <c r="C30" s="1576" t="s">
        <v>399</v>
      </c>
      <c r="D30" s="1576" t="s">
        <v>234</v>
      </c>
    </row>
    <row r="31" spans="1:34" customFormat="1" ht="20.25" customHeight="1">
      <c r="A31" s="1059" t="s">
        <v>237</v>
      </c>
      <c r="B31" s="1059" t="s">
        <v>277</v>
      </c>
      <c r="C31" s="1577"/>
      <c r="D31" s="1577"/>
    </row>
    <row r="32" spans="1:34" customFormat="1" ht="15">
      <c r="A32" s="1060">
        <v>1</v>
      </c>
      <c r="B32" s="1060">
        <v>2</v>
      </c>
      <c r="C32" s="1061">
        <v>3</v>
      </c>
      <c r="D32" s="1061">
        <v>4</v>
      </c>
    </row>
    <row r="33" spans="1:4" customFormat="1" ht="15">
      <c r="A33" s="1578"/>
      <c r="B33" s="1578"/>
      <c r="C33" s="1062" t="s">
        <v>117</v>
      </c>
      <c r="D33" s="1063" t="e">
        <f>'[2]шт ХЭК2'!G30</f>
        <v>#REF!</v>
      </c>
    </row>
    <row r="34" spans="1:4" customFormat="1" ht="15">
      <c r="A34" s="1579"/>
      <c r="B34" s="1579"/>
      <c r="C34" s="1062" t="s">
        <v>116</v>
      </c>
      <c r="D34" s="1063" t="e">
        <f>'[2]шт ХЭК2'!G31</f>
        <v>#REF!</v>
      </c>
    </row>
    <row r="35" spans="1:4" customFormat="1" ht="15">
      <c r="A35" s="1579"/>
      <c r="B35" s="1579"/>
      <c r="C35" s="1062" t="s">
        <v>116</v>
      </c>
      <c r="D35" s="1063" t="e">
        <f>'[2]шт ХЭК2'!G32</f>
        <v>#REF!</v>
      </c>
    </row>
    <row r="36" spans="1:4" customFormat="1" ht="15">
      <c r="A36" s="1579"/>
      <c r="B36" s="1579"/>
      <c r="C36" s="1062" t="s">
        <v>400</v>
      </c>
      <c r="D36" s="1063" t="e">
        <f>'[2]шт ХЭК2'!G33</f>
        <v>#REF!</v>
      </c>
    </row>
    <row r="37" spans="1:4" customFormat="1" ht="15.75" thickBot="1">
      <c r="A37" s="1579"/>
      <c r="B37" s="1579"/>
      <c r="C37" s="1064" t="s">
        <v>169</v>
      </c>
      <c r="D37" s="1065" t="e">
        <f>'[2]шт ХЭК2'!G34+'[2]шт ХЭК2'!G35</f>
        <v>#REF!</v>
      </c>
    </row>
    <row r="38" spans="1:4" customFormat="1" ht="22.5">
      <c r="A38" s="1580" t="s">
        <v>401</v>
      </c>
      <c r="B38" s="1583"/>
      <c r="C38" s="1066" t="s">
        <v>402</v>
      </c>
      <c r="D38" s="1067" t="e">
        <f>'[3]х гр 1.01.20'!F30</f>
        <v>#REF!</v>
      </c>
    </row>
    <row r="39" spans="1:4" customFormat="1" ht="15">
      <c r="A39" s="1581"/>
      <c r="B39" s="1579"/>
      <c r="C39" s="1062" t="s">
        <v>403</v>
      </c>
      <c r="D39" s="1063" t="e">
        <f>'[3]х гр 1.06.20'!F31</f>
        <v>#REF!</v>
      </c>
    </row>
    <row r="40" spans="1:4" customFormat="1" ht="15">
      <c r="A40" s="1581"/>
      <c r="B40" s="1579"/>
      <c r="C40" s="1062" t="s">
        <v>404</v>
      </c>
      <c r="D40" s="1063" t="e">
        <f>'[3]х гр 1.01.20'!F33</f>
        <v>#REF!</v>
      </c>
    </row>
    <row r="41" spans="1:4" customFormat="1" ht="15.75" thickBot="1">
      <c r="A41" s="1581"/>
      <c r="B41" s="1579"/>
      <c r="C41" s="1062" t="s">
        <v>405</v>
      </c>
      <c r="D41" s="1063" t="e">
        <f>'[3]х гр 1.01.20'!F34+'[3]х гр 1.01.20'!F35+'[3]х гр 1.01.20'!F36</f>
        <v>#REF!</v>
      </c>
    </row>
    <row r="42" spans="1:4" customFormat="1" ht="15.75" hidden="1" thickBot="1">
      <c r="A42" s="1581"/>
      <c r="B42" s="1579"/>
      <c r="C42" s="1062" t="s">
        <v>247</v>
      </c>
      <c r="D42" s="1068"/>
    </row>
    <row r="43" spans="1:4" customFormat="1" ht="57" hidden="1" thickBot="1">
      <c r="A43" s="1582"/>
      <c r="B43" s="1584"/>
      <c r="C43" s="1069" t="s">
        <v>406</v>
      </c>
      <c r="D43" s="1070"/>
    </row>
    <row r="44" spans="1:4" customFormat="1" ht="15">
      <c r="A44" s="1585" t="s">
        <v>407</v>
      </c>
      <c r="B44" s="1588"/>
      <c r="C44" s="1071" t="s">
        <v>201</v>
      </c>
      <c r="D44" s="1072" t="e">
        <f>'[3]ПМПК 1.01.20'!H37+'[3]ПМПК 1.01.20'!H38</f>
        <v>#REF!</v>
      </c>
    </row>
    <row r="45" spans="1:4" customFormat="1" ht="15">
      <c r="A45" s="1586"/>
      <c r="B45" s="1589"/>
      <c r="C45" s="1073" t="s">
        <v>178</v>
      </c>
      <c r="D45" s="1074" t="e">
        <f>'[3]ПМПК 1.01.20'!H39+'[3]ПМПК 1.01.20'!H43</f>
        <v>#REF!</v>
      </c>
    </row>
    <row r="46" spans="1:4" customFormat="1" ht="15">
      <c r="A46" s="1586"/>
      <c r="B46" s="1589"/>
      <c r="C46" s="1073" t="s">
        <v>40</v>
      </c>
      <c r="D46" s="1074" t="e">
        <f>'[3]ПМПК 1.01.20'!H40+'[3]ПМПК 1.01.20'!H44</f>
        <v>#REF!</v>
      </c>
    </row>
    <row r="47" spans="1:4" customFormat="1" ht="15">
      <c r="A47" s="1586"/>
      <c r="B47" s="1589"/>
      <c r="C47" s="1073" t="s">
        <v>33</v>
      </c>
      <c r="D47" s="1074" t="e">
        <f>'[3]ПМПК 1.01.20'!H41</f>
        <v>#REF!</v>
      </c>
    </row>
    <row r="48" spans="1:4" customFormat="1" ht="15.75" thickBot="1">
      <c r="A48" s="1587"/>
      <c r="B48" s="1590"/>
      <c r="C48" s="1075" t="s">
        <v>408</v>
      </c>
      <c r="D48" s="1076" t="e">
        <f>'[3]ПМПК 1.01.20'!H42</f>
        <v>#REF!</v>
      </c>
    </row>
    <row r="49" spans="1:4" customFormat="1" ht="26.25" customHeight="1">
      <c r="A49" s="1569" t="s">
        <v>409</v>
      </c>
      <c r="B49" s="1569"/>
      <c r="C49" s="1569"/>
      <c r="D49" s="1077" t="e">
        <f t="shared" ref="D49" si="8">SUM(D33:D48)</f>
        <v>#REF!</v>
      </c>
    </row>
    <row r="61" spans="1:4" customFormat="1" ht="15">
      <c r="D61" s="1078"/>
    </row>
    <row r="62" spans="1:4" customFormat="1" ht="15">
      <c r="D62" s="1079"/>
    </row>
    <row r="63" spans="1:4" customFormat="1" ht="15" customHeight="1">
      <c r="D63" s="1079"/>
    </row>
    <row r="64" spans="1:4" customFormat="1" ht="15" customHeight="1">
      <c r="B64" s="1080"/>
      <c r="C64" s="1080"/>
    </row>
    <row r="65" spans="1:4" customFormat="1" ht="15">
      <c r="B65" s="1080"/>
      <c r="C65" s="1080"/>
    </row>
    <row r="66" spans="1:4" customFormat="1" ht="15">
      <c r="A66" s="1081"/>
    </row>
    <row r="67" spans="1:4" customFormat="1" ht="15"/>
    <row r="68" spans="1:4" customFormat="1" ht="32.25" customHeight="1">
      <c r="A68" s="1574" t="s">
        <v>232</v>
      </c>
      <c r="B68" s="1575"/>
      <c r="C68" s="1576" t="s">
        <v>399</v>
      </c>
      <c r="D68" s="1576" t="s">
        <v>234</v>
      </c>
    </row>
    <row r="69" spans="1:4" customFormat="1" ht="20.25" customHeight="1">
      <c r="A69" s="1059" t="s">
        <v>237</v>
      </c>
      <c r="B69" s="1059" t="s">
        <v>277</v>
      </c>
      <c r="C69" s="1577"/>
      <c r="D69" s="1577"/>
    </row>
    <row r="70" spans="1:4" customFormat="1" ht="15">
      <c r="A70" s="1060">
        <v>1</v>
      </c>
      <c r="B70" s="1060">
        <v>2</v>
      </c>
      <c r="C70" s="1061">
        <v>3</v>
      </c>
      <c r="D70" s="1061">
        <v>4</v>
      </c>
    </row>
    <row r="71" spans="1:4" customFormat="1" ht="15">
      <c r="A71" s="1578"/>
      <c r="B71" s="1578"/>
      <c r="C71" s="1062" t="s">
        <v>117</v>
      </c>
      <c r="D71" s="1063" t="e">
        <f>'[2]шт ХЭК2'!G37</f>
        <v>#REF!</v>
      </c>
    </row>
    <row r="72" spans="1:4" customFormat="1" ht="15">
      <c r="A72" s="1579"/>
      <c r="B72" s="1579"/>
      <c r="C72" s="1062" t="s">
        <v>116</v>
      </c>
      <c r="D72" s="1063" t="e">
        <f>'[2]шт ХЭК2'!G38</f>
        <v>#REF!</v>
      </c>
    </row>
    <row r="73" spans="1:4" customFormat="1" ht="15">
      <c r="A73" s="1579"/>
      <c r="B73" s="1579"/>
      <c r="C73" s="1062" t="s">
        <v>116</v>
      </c>
      <c r="D73" s="1063" t="e">
        <f>'[2]шт ХЭК2'!G39</f>
        <v>#REF!</v>
      </c>
    </row>
    <row r="74" spans="1:4" customFormat="1" ht="15">
      <c r="A74" s="1579"/>
      <c r="B74" s="1579"/>
      <c r="C74" s="1062" t="s">
        <v>400</v>
      </c>
      <c r="D74" s="1063" t="e">
        <f>'[2]шт ХЭК2'!G40</f>
        <v>#REF!</v>
      </c>
    </row>
    <row r="75" spans="1:4" customFormat="1" ht="15.75" thickBot="1">
      <c r="A75" s="1579"/>
      <c r="B75" s="1579"/>
      <c r="C75" s="1064" t="s">
        <v>169</v>
      </c>
      <c r="D75" s="1065" t="e">
        <f>'[2]шт ХЭК2'!G41+'[2]шт ХЭК2'!G42</f>
        <v>#REF!</v>
      </c>
    </row>
    <row r="76" spans="1:4" customFormat="1" ht="22.5">
      <c r="A76" s="1580" t="s">
        <v>401</v>
      </c>
      <c r="B76" s="1583"/>
      <c r="C76" s="1066" t="s">
        <v>402</v>
      </c>
      <c r="D76" s="1067" t="e">
        <f>'[3]х гр 1.01.20'!F37</f>
        <v>#REF!</v>
      </c>
    </row>
    <row r="77" spans="1:4" customFormat="1" ht="15">
      <c r="A77" s="1581"/>
      <c r="B77" s="1579"/>
      <c r="C77" s="1062" t="s">
        <v>403</v>
      </c>
      <c r="D77" s="1063" t="e">
        <f>'[3]х гр 1.06.20'!F38</f>
        <v>#REF!</v>
      </c>
    </row>
    <row r="78" spans="1:4" customFormat="1" ht="15">
      <c r="A78" s="1581"/>
      <c r="B78" s="1579"/>
      <c r="C78" s="1062" t="s">
        <v>404</v>
      </c>
      <c r="D78" s="1063" t="e">
        <f>'[3]х гр 1.01.20'!F40</f>
        <v>#REF!</v>
      </c>
    </row>
    <row r="79" spans="1:4" customFormat="1" ht="15.75" thickBot="1">
      <c r="A79" s="1581"/>
      <c r="B79" s="1579"/>
      <c r="C79" s="1062" t="s">
        <v>405</v>
      </c>
      <c r="D79" s="1063" t="e">
        <f>'[3]х гр 1.01.20'!F41+'[3]х гр 1.01.20'!F42+'[3]х гр 1.01.20'!F43</f>
        <v>#REF!</v>
      </c>
    </row>
    <row r="80" spans="1:4" customFormat="1" ht="15.75" hidden="1" thickBot="1">
      <c r="A80" s="1581"/>
      <c r="B80" s="1579"/>
      <c r="C80" s="1062" t="s">
        <v>247</v>
      </c>
      <c r="D80" s="1068"/>
    </row>
    <row r="81" spans="1:4" customFormat="1" ht="57" hidden="1" thickBot="1">
      <c r="A81" s="1582"/>
      <c r="B81" s="1584"/>
      <c r="C81" s="1069" t="s">
        <v>406</v>
      </c>
      <c r="D81" s="1070"/>
    </row>
    <row r="82" spans="1:4" customFormat="1" ht="15">
      <c r="A82" s="1585" t="s">
        <v>407</v>
      </c>
      <c r="B82" s="1588"/>
      <c r="C82" s="1071" t="s">
        <v>201</v>
      </c>
      <c r="D82" s="1072" t="e">
        <f>'[3]ПМПК 1.01.20'!H44+'[3]ПМПК 1.01.20'!H45</f>
        <v>#REF!</v>
      </c>
    </row>
    <row r="83" spans="1:4" customFormat="1" ht="15">
      <c r="A83" s="1586"/>
      <c r="B83" s="1589"/>
      <c r="C83" s="1073" t="s">
        <v>178</v>
      </c>
      <c r="D83" s="1074" t="e">
        <f>'[3]ПМПК 1.01.20'!H46+'[3]ПМПК 1.01.20'!H50</f>
        <v>#REF!</v>
      </c>
    </row>
    <row r="84" spans="1:4" customFormat="1" ht="15">
      <c r="A84" s="1586"/>
      <c r="B84" s="1589"/>
      <c r="C84" s="1073" t="s">
        <v>40</v>
      </c>
      <c r="D84" s="1074" t="e">
        <f>'[3]ПМПК 1.01.20'!H47+'[3]ПМПК 1.01.20'!H51</f>
        <v>#REF!</v>
      </c>
    </row>
    <row r="85" spans="1:4" customFormat="1" ht="15">
      <c r="A85" s="1586"/>
      <c r="B85" s="1589"/>
      <c r="C85" s="1073" t="s">
        <v>33</v>
      </c>
      <c r="D85" s="1074" t="e">
        <f>'[3]ПМПК 1.01.20'!H48</f>
        <v>#REF!</v>
      </c>
    </row>
    <row r="86" spans="1:4" customFormat="1" ht="15.75" thickBot="1">
      <c r="A86" s="1587"/>
      <c r="B86" s="1590"/>
      <c r="C86" s="1075" t="s">
        <v>408</v>
      </c>
      <c r="D86" s="1076" t="e">
        <f>'[3]ПМПК 1.01.20'!H49</f>
        <v>#REF!</v>
      </c>
    </row>
    <row r="87" spans="1:4" customFormat="1" ht="26.25" customHeight="1">
      <c r="A87" s="1569" t="s">
        <v>409</v>
      </c>
      <c r="B87" s="1569"/>
      <c r="C87" s="1569"/>
      <c r="D87" s="1077" t="e">
        <f t="shared" ref="D87" si="9">SUM(D71:D86)</f>
        <v>#REF!</v>
      </c>
    </row>
    <row r="88" spans="1:4" customFormat="1" ht="15" hidden="1">
      <c r="A88" s="1570" t="s">
        <v>410</v>
      </c>
      <c r="B88" s="1571"/>
      <c r="C88" s="1571"/>
      <c r="D88" s="1571"/>
    </row>
    <row r="89" spans="1:4" customFormat="1" ht="15" hidden="1">
      <c r="A89" s="1572" t="s">
        <v>411</v>
      </c>
      <c r="B89" s="1573"/>
      <c r="C89" s="1573"/>
      <c r="D89" s="1573"/>
    </row>
    <row r="90" spans="1:4" customFormat="1" ht="15"/>
    <row r="91" spans="1:4" customFormat="1" ht="15"/>
  </sheetData>
  <mergeCells count="45">
    <mergeCell ref="E22:F22"/>
    <mergeCell ref="E24:F24"/>
    <mergeCell ref="AF9:AF10"/>
    <mergeCell ref="AG9:AG10"/>
    <mergeCell ref="AH9:AH10"/>
    <mergeCell ref="A10:Q10"/>
    <mergeCell ref="A11:Q11"/>
    <mergeCell ref="A12:Q14"/>
    <mergeCell ref="R12:R15"/>
    <mergeCell ref="R9:S9"/>
    <mergeCell ref="T9:T10"/>
    <mergeCell ref="U9:U10"/>
    <mergeCell ref="V9:V10"/>
    <mergeCell ref="W9:W10"/>
    <mergeCell ref="X9:Y9"/>
    <mergeCell ref="Z9:AC9"/>
    <mergeCell ref="N2:Q2"/>
    <mergeCell ref="AD2:AG2"/>
    <mergeCell ref="R17:T17"/>
    <mergeCell ref="R18:T18"/>
    <mergeCell ref="R19:T19"/>
    <mergeCell ref="AD4:AE4"/>
    <mergeCell ref="AD9:AE9"/>
    <mergeCell ref="A71:A75"/>
    <mergeCell ref="B71:B75"/>
    <mergeCell ref="A76:A81"/>
    <mergeCell ref="B76:B81"/>
    <mergeCell ref="A82:A86"/>
    <mergeCell ref="B82:B86"/>
    <mergeCell ref="A87:C87"/>
    <mergeCell ref="A88:D88"/>
    <mergeCell ref="A89:D89"/>
    <mergeCell ref="A30:B30"/>
    <mergeCell ref="C30:C31"/>
    <mergeCell ref="D30:D31"/>
    <mergeCell ref="A33:A37"/>
    <mergeCell ref="B33:B37"/>
    <mergeCell ref="A38:A43"/>
    <mergeCell ref="B38:B43"/>
    <mergeCell ref="A44:A48"/>
    <mergeCell ref="B44:B48"/>
    <mergeCell ref="A49:C49"/>
    <mergeCell ref="A68:B68"/>
    <mergeCell ref="C68:C69"/>
    <mergeCell ref="D68:D6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CG126"/>
  <sheetViews>
    <sheetView topLeftCell="A9" workbookViewId="0">
      <selection activeCell="B11" sqref="B11"/>
    </sheetView>
  </sheetViews>
  <sheetFormatPr defaultRowHeight="12"/>
  <cols>
    <col min="1" max="1" width="13.28515625" style="3" customWidth="1"/>
    <col min="2" max="2" width="20.42578125" style="3" customWidth="1"/>
    <col min="3" max="3" width="6.42578125" style="3" hidden="1" customWidth="1"/>
    <col min="4" max="4" width="7" style="3" customWidth="1"/>
    <col min="5" max="5" width="10.42578125" style="3" customWidth="1"/>
    <col min="6" max="7" width="11" style="3" customWidth="1"/>
    <col min="8" max="8" width="11.7109375" style="3" customWidth="1"/>
    <col min="9" max="9" width="13.28515625" style="3" customWidth="1"/>
    <col min="10" max="10" width="13.5703125" style="3" customWidth="1"/>
    <col min="11" max="11" width="12.5703125" style="3" customWidth="1"/>
    <col min="12" max="12" width="11" style="3" hidden="1" customWidth="1"/>
    <col min="13" max="13" width="9.140625" style="3" hidden="1" customWidth="1"/>
    <col min="14" max="14" width="12.28515625" style="3" hidden="1" customWidth="1"/>
    <col min="15" max="15" width="9.140625" style="3" hidden="1" customWidth="1"/>
    <col min="16" max="16" width="5.140625" style="3" hidden="1" customWidth="1"/>
    <col min="17" max="17" width="2.5703125" style="3" hidden="1" customWidth="1"/>
    <col min="18" max="18" width="14.42578125" style="3" hidden="1" customWidth="1"/>
    <col min="19" max="19" width="13.28515625" style="3" hidden="1" customWidth="1"/>
    <col min="20" max="20" width="11.5703125" style="3" hidden="1" customWidth="1"/>
    <col min="21" max="21" width="9.140625" style="3" hidden="1" customWidth="1"/>
    <col min="22" max="23" width="0" style="3" hidden="1" customWidth="1"/>
    <col min="24" max="24" width="7.85546875" style="3" hidden="1" customWidth="1"/>
    <col min="25" max="38" width="9.140625" style="3" hidden="1" customWidth="1"/>
    <col min="39" max="39" width="6.85546875" style="3" hidden="1" customWidth="1"/>
    <col min="40" max="40" width="10.85546875" style="3" hidden="1" customWidth="1"/>
    <col min="41" max="43" width="9.140625" style="3" hidden="1" customWidth="1"/>
    <col min="44" max="50" width="9.140625" style="3" customWidth="1"/>
    <col min="51" max="51" width="7.28515625" style="3" customWidth="1"/>
    <col min="52" max="52" width="9.140625" style="3" customWidth="1"/>
    <col min="53" max="53" width="9.140625" style="3"/>
    <col min="54" max="54" width="12" style="3" customWidth="1"/>
    <col min="55" max="55" width="9.140625" style="3"/>
    <col min="56" max="64" width="9.140625" style="3" customWidth="1"/>
    <col min="65" max="65" width="11.5703125" style="3" customWidth="1"/>
    <col min="66" max="66" width="9.140625" style="3"/>
    <col min="67" max="67" width="11.7109375" style="3" customWidth="1"/>
    <col min="68" max="68" width="2.5703125" style="3" customWidth="1"/>
    <col min="69" max="69" width="13" style="3" customWidth="1"/>
    <col min="70" max="70" width="12.42578125" style="3" customWidth="1"/>
    <col min="71" max="71" width="5.140625" style="3" customWidth="1"/>
    <col min="72" max="85" width="9.140625" style="3" customWidth="1"/>
    <col min="86" max="16384" width="9.140625" style="3"/>
  </cols>
  <sheetData>
    <row r="1" spans="1:85" s="345" customFormat="1" ht="57" customHeight="1">
      <c r="A1" s="344"/>
      <c r="B1" s="344"/>
      <c r="C1" s="344"/>
      <c r="D1" s="344"/>
      <c r="E1" s="344"/>
      <c r="F1" s="344"/>
      <c r="G1" s="344"/>
      <c r="H1" s="344"/>
      <c r="I1" s="1370" t="s">
        <v>0</v>
      </c>
      <c r="J1" s="1371"/>
      <c r="K1" s="1371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  <c r="BM1" s="344"/>
      <c r="BN1" s="344"/>
      <c r="BO1" s="344"/>
      <c r="BP1" s="1372"/>
      <c r="BQ1" s="1372"/>
      <c r="BR1" s="1372"/>
      <c r="BS1" s="1372"/>
      <c r="BT1" s="1372"/>
      <c r="BU1" s="1372"/>
      <c r="BV1" s="1372"/>
      <c r="BW1" s="1372"/>
      <c r="BX1" s="1372"/>
      <c r="BY1" s="1372"/>
      <c r="BZ1" s="1372"/>
      <c r="CA1" s="1372"/>
      <c r="CB1" s="1372"/>
      <c r="CC1" s="1372"/>
      <c r="CD1" s="1372"/>
      <c r="CE1" s="1372"/>
      <c r="CF1" s="1372"/>
      <c r="CG1" s="1372"/>
    </row>
    <row r="2" spans="1:85" s="345" customFormat="1" ht="12.75">
      <c r="F2" s="344" t="s">
        <v>2</v>
      </c>
      <c r="G2" s="344"/>
      <c r="H2" s="270" t="s">
        <v>1</v>
      </c>
    </row>
    <row r="3" spans="1:85" s="345" customFormat="1" ht="18" customHeight="1">
      <c r="A3" s="344"/>
      <c r="B3" s="344"/>
      <c r="C3" s="344"/>
      <c r="D3" s="344"/>
      <c r="E3" s="344"/>
      <c r="F3" s="344" t="s">
        <v>4</v>
      </c>
      <c r="G3" s="344"/>
      <c r="H3" s="270" t="s">
        <v>3</v>
      </c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  <c r="BR3" s="1373"/>
      <c r="BS3" s="1373"/>
      <c r="BT3" s="1373"/>
      <c r="BU3" s="1373"/>
      <c r="BV3" s="1373"/>
      <c r="BW3" s="1373"/>
      <c r="BX3" s="1373"/>
      <c r="BY3" s="1373"/>
      <c r="BZ3" s="1373"/>
      <c r="CA3" s="1373"/>
      <c r="CB3" s="1373"/>
      <c r="CC3" s="1373"/>
      <c r="CD3" s="1373"/>
      <c r="CE3" s="1373"/>
      <c r="CF3" s="1373"/>
      <c r="CG3" s="1373"/>
    </row>
    <row r="4" spans="1:85" s="345" customFormat="1" ht="12.75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344"/>
      <c r="BN4" s="344"/>
      <c r="BO4" s="344"/>
      <c r="BP4" s="344"/>
      <c r="BQ4" s="344"/>
      <c r="BR4" s="1373"/>
      <c r="BS4" s="1373"/>
      <c r="BT4" s="1373"/>
      <c r="BU4" s="1373"/>
      <c r="BV4" s="1373"/>
      <c r="BW4" s="1373"/>
      <c r="BX4" s="1373"/>
      <c r="BY4" s="1373"/>
      <c r="BZ4" s="1373"/>
      <c r="CA4" s="1373"/>
      <c r="CB4" s="1373"/>
      <c r="CC4" s="1373"/>
      <c r="CD4" s="1373"/>
      <c r="CE4" s="1373"/>
      <c r="CF4" s="1373"/>
      <c r="CG4" s="1373"/>
    </row>
    <row r="5" spans="1:85" ht="19.5" customHeight="1">
      <c r="A5" s="1374"/>
      <c r="B5" s="1375"/>
      <c r="C5" s="1375"/>
      <c r="D5" s="1375"/>
      <c r="E5" s="1375"/>
      <c r="F5" s="1375"/>
      <c r="G5" s="1375"/>
      <c r="H5" s="1375"/>
      <c r="I5" s="1375"/>
      <c r="J5" s="1375"/>
      <c r="K5" s="1375"/>
      <c r="L5" s="1375"/>
    </row>
    <row r="6" spans="1:85" ht="15.75">
      <c r="A6" s="346"/>
      <c r="B6" s="347"/>
      <c r="C6" s="1369" t="s">
        <v>112</v>
      </c>
      <c r="D6" s="1369"/>
      <c r="E6" s="1369"/>
      <c r="F6" s="1369"/>
      <c r="G6" s="1369"/>
      <c r="H6" s="1369"/>
      <c r="I6" s="1369"/>
      <c r="J6" s="1369"/>
      <c r="K6" s="1369"/>
      <c r="L6" s="1369"/>
    </row>
    <row r="7" spans="1:85">
      <c r="A7" s="4"/>
      <c r="B7" s="4"/>
      <c r="C7" s="5"/>
      <c r="D7" s="5"/>
      <c r="E7" s="5"/>
      <c r="F7" s="5"/>
      <c r="G7" s="5"/>
      <c r="H7" s="5"/>
      <c r="I7" s="4"/>
      <c r="J7" s="4"/>
      <c r="K7" s="4"/>
    </row>
    <row r="8" spans="1:85" ht="17.25" customHeight="1">
      <c r="A8" s="4"/>
      <c r="B8" s="4"/>
      <c r="C8" s="5"/>
      <c r="D8" s="5"/>
      <c r="E8" s="1378" t="s">
        <v>9</v>
      </c>
      <c r="F8" s="1378"/>
      <c r="G8" s="1378" t="s">
        <v>10</v>
      </c>
      <c r="H8" s="1378"/>
      <c r="I8" s="4"/>
      <c r="J8" s="4"/>
      <c r="K8" s="4"/>
    </row>
    <row r="9" spans="1:85" ht="15.75">
      <c r="A9" s="6"/>
      <c r="B9" s="7" t="s">
        <v>11</v>
      </c>
      <c r="C9" s="8"/>
      <c r="D9" s="5"/>
      <c r="E9" s="1378">
        <v>1</v>
      </c>
      <c r="F9" s="1378"/>
      <c r="G9" s="1379"/>
      <c r="H9" s="1378"/>
      <c r="I9" s="4" t="s">
        <v>12</v>
      </c>
      <c r="J9" s="4"/>
      <c r="K9" s="4"/>
    </row>
    <row r="10" spans="1:85">
      <c r="A10" s="4"/>
      <c r="B10" s="4"/>
      <c r="C10" s="5"/>
      <c r="D10" s="5"/>
      <c r="E10" s="5"/>
      <c r="F10" s="5"/>
      <c r="G10" s="5"/>
      <c r="H10" s="5"/>
      <c r="I10" s="5" t="s">
        <v>13</v>
      </c>
      <c r="J10" s="5"/>
      <c r="K10" s="5"/>
    </row>
    <row r="11" spans="1:85" ht="15.75">
      <c r="A11" s="5"/>
      <c r="B11" s="9" t="s">
        <v>195</v>
      </c>
      <c r="C11" s="10"/>
      <c r="D11" s="10"/>
      <c r="E11" s="10"/>
      <c r="F11" s="10"/>
      <c r="G11" s="10"/>
      <c r="H11" s="5"/>
      <c r="I11" s="5" t="s">
        <v>14</v>
      </c>
      <c r="J11" s="11"/>
      <c r="K11" s="5"/>
    </row>
    <row r="12" spans="1:85">
      <c r="A12" s="5"/>
      <c r="B12" s="10"/>
      <c r="C12" s="10"/>
      <c r="D12" s="10"/>
      <c r="E12" s="10"/>
      <c r="F12" s="10"/>
      <c r="G12" s="10"/>
      <c r="H12" s="5"/>
      <c r="I12" s="5"/>
      <c r="J12" s="11">
        <f>D106</f>
        <v>13.459999999999999</v>
      </c>
      <c r="K12" s="5"/>
    </row>
    <row r="13" spans="1:85">
      <c r="A13" s="5"/>
      <c r="B13" s="5"/>
      <c r="C13" s="5"/>
      <c r="D13" s="5"/>
      <c r="E13" s="4"/>
      <c r="F13" s="4"/>
      <c r="G13" s="4"/>
      <c r="H13" s="5"/>
      <c r="I13" s="5" t="s">
        <v>15</v>
      </c>
      <c r="J13" s="5"/>
      <c r="K13" s="5"/>
    </row>
    <row r="14" spans="1:85" ht="12.75" thickBot="1">
      <c r="E14" s="12"/>
      <c r="F14" s="12"/>
      <c r="G14" s="12"/>
      <c r="K14" s="13" t="s">
        <v>16</v>
      </c>
    </row>
    <row r="15" spans="1:85">
      <c r="A15" s="1365" t="s">
        <v>17</v>
      </c>
      <c r="B15" s="1367" t="s">
        <v>18</v>
      </c>
      <c r="C15" s="1356" t="s">
        <v>19</v>
      </c>
      <c r="D15" s="1356" t="s">
        <v>20</v>
      </c>
      <c r="E15" s="1356" t="s">
        <v>21</v>
      </c>
      <c r="F15" s="1356" t="s">
        <v>5</v>
      </c>
      <c r="G15" s="1356" t="s">
        <v>6</v>
      </c>
      <c r="H15" s="1356"/>
      <c r="I15" s="1356" t="s">
        <v>7</v>
      </c>
      <c r="J15" s="1356" t="s">
        <v>22</v>
      </c>
      <c r="K15" s="1358" t="s">
        <v>198</v>
      </c>
      <c r="L15" s="1376" t="s">
        <v>23</v>
      </c>
    </row>
    <row r="16" spans="1:85" ht="36.75" thickBot="1">
      <c r="A16" s="1366"/>
      <c r="B16" s="1368"/>
      <c r="C16" s="1357"/>
      <c r="D16" s="1357"/>
      <c r="E16" s="1357"/>
      <c r="F16" s="1357"/>
      <c r="G16" s="328" t="s">
        <v>24</v>
      </c>
      <c r="H16" s="328" t="s">
        <v>25</v>
      </c>
      <c r="I16" s="1357"/>
      <c r="J16" s="1357"/>
      <c r="K16" s="1359"/>
      <c r="L16" s="1377"/>
    </row>
    <row r="17" spans="1:19" ht="18.75" hidden="1" customHeight="1">
      <c r="A17" s="148"/>
      <c r="B17" s="1360"/>
      <c r="C17" s="1361"/>
      <c r="D17" s="1361"/>
      <c r="E17" s="1361"/>
      <c r="F17" s="1361"/>
      <c r="G17" s="1361"/>
      <c r="H17" s="1361"/>
      <c r="I17" s="1361"/>
      <c r="J17" s="1361"/>
      <c r="K17" s="1362"/>
      <c r="L17" s="128"/>
    </row>
    <row r="18" spans="1:19" ht="29.25" customHeight="1" thickBot="1">
      <c r="A18" s="1363" t="s">
        <v>59</v>
      </c>
      <c r="B18" s="114" t="s">
        <v>60</v>
      </c>
      <c r="C18" s="124"/>
      <c r="D18" s="115">
        <v>1</v>
      </c>
      <c r="E18" s="348">
        <v>11751</v>
      </c>
      <c r="F18" s="117">
        <f>D18*E18</f>
        <v>11751</v>
      </c>
      <c r="G18" s="348">
        <f>F18*25%</f>
        <v>2937.75</v>
      </c>
      <c r="H18" s="348">
        <f>F18*25%</f>
        <v>2937.75</v>
      </c>
      <c r="I18" s="36">
        <f>(F18+G18+H18)*60%</f>
        <v>10575.9</v>
      </c>
      <c r="J18" s="36">
        <f>F18+G18+H18+I18</f>
        <v>28202.400000000001</v>
      </c>
      <c r="K18" s="87">
        <f>J18*12</f>
        <v>338428.80000000005</v>
      </c>
      <c r="L18" s="129"/>
    </row>
    <row r="19" spans="1:19" ht="12.75" hidden="1" customHeight="1">
      <c r="A19" s="1364"/>
      <c r="B19" s="114" t="s">
        <v>61</v>
      </c>
      <c r="C19" s="124"/>
      <c r="D19" s="33"/>
      <c r="E19" s="34"/>
      <c r="F19" s="35"/>
      <c r="G19" s="35"/>
      <c r="H19" s="35"/>
      <c r="I19" s="85"/>
      <c r="J19" s="36">
        <f>F19+G19+H19+I19</f>
        <v>0</v>
      </c>
      <c r="K19" s="87">
        <f>J19*12</f>
        <v>0</v>
      </c>
      <c r="L19" s="129"/>
    </row>
    <row r="20" spans="1:19" ht="25.5" hidden="1" customHeight="1">
      <c r="A20" s="1364"/>
      <c r="B20" s="114" t="s">
        <v>62</v>
      </c>
      <c r="C20" s="124"/>
      <c r="D20" s="124"/>
      <c r="E20" s="34"/>
      <c r="F20" s="35"/>
      <c r="G20" s="35"/>
      <c r="H20" s="35"/>
      <c r="I20" s="85"/>
      <c r="J20" s="36">
        <f>F20+G20+H20+I20</f>
        <v>0</v>
      </c>
      <c r="K20" s="87">
        <f t="shared" ref="K20" si="0">J20*12</f>
        <v>0</v>
      </c>
      <c r="L20" s="129"/>
    </row>
    <row r="21" spans="1:19" ht="12.75" hidden="1" customHeight="1" thickBot="1">
      <c r="A21" s="1364"/>
      <c r="B21" s="158" t="s">
        <v>63</v>
      </c>
      <c r="C21" s="19"/>
      <c r="D21" s="19"/>
      <c r="E21" s="20"/>
      <c r="F21" s="21"/>
      <c r="G21" s="21"/>
      <c r="H21" s="21"/>
      <c r="I21" s="22"/>
      <c r="J21" s="22"/>
      <c r="K21" s="143"/>
      <c r="L21" s="130"/>
    </row>
    <row r="22" spans="1:19" ht="30.75" customHeight="1" thickBot="1">
      <c r="A22" s="1364"/>
      <c r="B22" s="23"/>
      <c r="C22" s="24"/>
      <c r="D22" s="25">
        <f>SUM(D18:D21)</f>
        <v>1</v>
      </c>
      <c r="E22" s="26">
        <f t="shared" ref="E22:J22" si="1">SUM(E18:E21)</f>
        <v>11751</v>
      </c>
      <c r="F22" s="26">
        <f t="shared" si="1"/>
        <v>11751</v>
      </c>
      <c r="G22" s="26">
        <f t="shared" si="1"/>
        <v>2937.75</v>
      </c>
      <c r="H22" s="26">
        <f t="shared" si="1"/>
        <v>2937.75</v>
      </c>
      <c r="I22" s="26">
        <f t="shared" si="1"/>
        <v>10575.9</v>
      </c>
      <c r="J22" s="26">
        <f t="shared" si="1"/>
        <v>28202.400000000001</v>
      </c>
      <c r="K22" s="144">
        <f>SUM(K18:K21)</f>
        <v>338428.80000000005</v>
      </c>
      <c r="L22" s="41"/>
    </row>
    <row r="23" spans="1:19" ht="29.25" customHeight="1" thickBot="1">
      <c r="A23" s="1364"/>
      <c r="B23" s="159" t="s">
        <v>56</v>
      </c>
      <c r="C23" s="126"/>
      <c r="D23" s="126"/>
      <c r="E23" s="28"/>
      <c r="F23" s="28"/>
      <c r="G23" s="29"/>
      <c r="H23" s="29"/>
      <c r="I23" s="29"/>
      <c r="J23" s="86">
        <v>6110.52</v>
      </c>
      <c r="K23" s="87">
        <f>J23*12</f>
        <v>73326.240000000005</v>
      </c>
      <c r="L23" s="131"/>
    </row>
    <row r="24" spans="1:19" ht="39.75" customHeight="1" thickBot="1">
      <c r="A24" s="1364"/>
      <c r="B24" s="30" t="s">
        <v>64</v>
      </c>
      <c r="C24" s="24"/>
      <c r="D24" s="31">
        <f t="shared" ref="D24:I24" si="2">D22+D23</f>
        <v>1</v>
      </c>
      <c r="E24" s="32">
        <f t="shared" si="2"/>
        <v>11751</v>
      </c>
      <c r="F24" s="32">
        <f t="shared" si="2"/>
        <v>11751</v>
      </c>
      <c r="G24" s="32">
        <f t="shared" si="2"/>
        <v>2937.75</v>
      </c>
      <c r="H24" s="32">
        <f t="shared" si="2"/>
        <v>2937.75</v>
      </c>
      <c r="I24" s="32">
        <f t="shared" si="2"/>
        <v>10575.9</v>
      </c>
      <c r="J24" s="32">
        <f>J22+J23</f>
        <v>34312.92</v>
      </c>
      <c r="K24" s="32">
        <f>K22+K23</f>
        <v>411755.04000000004</v>
      </c>
      <c r="L24" s="41"/>
      <c r="S24" s="3">
        <f>J24*7</f>
        <v>240190.44</v>
      </c>
    </row>
    <row r="25" spans="1:19" ht="27" customHeight="1">
      <c r="A25" s="1381" t="s">
        <v>32</v>
      </c>
      <c r="B25" s="54" t="s">
        <v>116</v>
      </c>
      <c r="C25" s="120" t="s">
        <v>36</v>
      </c>
      <c r="D25" s="324">
        <v>1</v>
      </c>
      <c r="E25" s="325">
        <v>6603</v>
      </c>
      <c r="F25" s="325">
        <v>7923.6</v>
      </c>
      <c r="G25" s="325">
        <f>E25*25%</f>
        <v>1650.75</v>
      </c>
      <c r="H25" s="318"/>
      <c r="I25" s="325">
        <f>(F25+G25+H25)*60%</f>
        <v>5744.61</v>
      </c>
      <c r="J25" s="325">
        <f>F25+G25+H25+I25</f>
        <v>15318.96</v>
      </c>
      <c r="K25" s="326">
        <f t="shared" ref="K25:K28" si="3">J25*12</f>
        <v>183827.52</v>
      </c>
      <c r="L25" s="128"/>
    </row>
    <row r="26" spans="1:19" ht="23.25" customHeight="1">
      <c r="A26" s="1382"/>
      <c r="B26" s="349" t="s">
        <v>50</v>
      </c>
      <c r="C26" s="122"/>
      <c r="D26" s="327">
        <v>0.5</v>
      </c>
      <c r="E26" s="318">
        <v>6866</v>
      </c>
      <c r="F26" s="318">
        <v>4634.55</v>
      </c>
      <c r="G26" s="318">
        <v>858.25</v>
      </c>
      <c r="H26" s="318">
        <v>858.25</v>
      </c>
      <c r="I26" s="318">
        <f>(F26+G26+H26)*60%</f>
        <v>3810.63</v>
      </c>
      <c r="J26" s="318">
        <f>F26+G26+H26+I26</f>
        <v>10161.68</v>
      </c>
      <c r="K26" s="326">
        <f t="shared" si="3"/>
        <v>121940.16</v>
      </c>
      <c r="L26" s="129">
        <f>J25/D25/30</f>
        <v>510.63199999999995</v>
      </c>
    </row>
    <row r="27" spans="1:19" ht="32.25" customHeight="1">
      <c r="A27" s="1382"/>
      <c r="B27" s="349" t="s">
        <v>50</v>
      </c>
      <c r="C27" s="122"/>
      <c r="D27" s="327">
        <v>0.5</v>
      </c>
      <c r="E27" s="318">
        <v>6029</v>
      </c>
      <c r="F27" s="318">
        <v>3617.4</v>
      </c>
      <c r="G27" s="318">
        <v>753.63</v>
      </c>
      <c r="H27" s="318">
        <v>150.72999999999999</v>
      </c>
      <c r="I27" s="318">
        <f>(F27+G27+H27)*60%</f>
        <v>2713.0559999999996</v>
      </c>
      <c r="J27" s="318">
        <f>F27+G27+H27+I27</f>
        <v>7234.8159999999989</v>
      </c>
      <c r="K27" s="326">
        <f t="shared" ref="K27" si="4">J27*12</f>
        <v>86817.791999999987</v>
      </c>
      <c r="L27" s="129">
        <f>J26/D26/30</f>
        <v>677.44533333333334</v>
      </c>
    </row>
    <row r="28" spans="1:19" ht="41.25" customHeight="1">
      <c r="A28" s="1382"/>
      <c r="B28" s="349" t="s">
        <v>113</v>
      </c>
      <c r="C28" s="122" t="s">
        <v>36</v>
      </c>
      <c r="D28" s="350">
        <v>6.32</v>
      </c>
      <c r="E28" s="362" t="s">
        <v>207</v>
      </c>
      <c r="F28" s="318">
        <v>54442.85</v>
      </c>
      <c r="G28" s="318">
        <v>10314.700000000001</v>
      </c>
      <c r="H28" s="318">
        <v>6964.1</v>
      </c>
      <c r="I28" s="318">
        <f>(F28+G28+H28)*60%</f>
        <v>43032.990000000005</v>
      </c>
      <c r="J28" s="318">
        <f>F28+G28+H28+I28</f>
        <v>114754.64000000001</v>
      </c>
      <c r="K28" s="326">
        <f t="shared" si="3"/>
        <v>1377055.6800000002</v>
      </c>
      <c r="L28" s="352">
        <f>I28+J28</f>
        <v>157787.63</v>
      </c>
      <c r="N28" s="64">
        <f>J25+J26+J28</f>
        <v>140235.28000000003</v>
      </c>
      <c r="R28" s="64">
        <f>J25+J26+J28</f>
        <v>140235.28000000003</v>
      </c>
    </row>
    <row r="29" spans="1:19" ht="47.25" hidden="1" customHeight="1">
      <c r="A29" s="1382"/>
      <c r="B29" s="349"/>
      <c r="C29" s="361"/>
      <c r="D29" s="350"/>
      <c r="E29" s="351"/>
      <c r="F29" s="318"/>
      <c r="G29" s="318"/>
      <c r="H29" s="318"/>
      <c r="I29" s="318"/>
      <c r="J29" s="318"/>
      <c r="K29" s="326"/>
      <c r="L29" s="352">
        <f>I29+J29</f>
        <v>0</v>
      </c>
      <c r="N29" s="64">
        <f>J26+J27+J29</f>
        <v>17396.495999999999</v>
      </c>
      <c r="R29" s="64">
        <f>J26+J27+J29</f>
        <v>17396.495999999999</v>
      </c>
    </row>
    <row r="30" spans="1:19" ht="48.75" customHeight="1" thickBot="1">
      <c r="A30" s="1382"/>
      <c r="B30" s="349" t="s">
        <v>114</v>
      </c>
      <c r="C30" s="37"/>
      <c r="D30" s="353">
        <v>3.52</v>
      </c>
      <c r="E30" s="362" t="s">
        <v>207</v>
      </c>
      <c r="F30" s="318">
        <v>30857.3</v>
      </c>
      <c r="G30" s="318">
        <v>5857.94</v>
      </c>
      <c r="H30" s="318">
        <v>2871.88</v>
      </c>
      <c r="I30" s="318">
        <f>(F30+G30+H30)*60%</f>
        <v>23752.271999999997</v>
      </c>
      <c r="J30" s="318">
        <f>F30+G30+H30+I30</f>
        <v>63339.391999999993</v>
      </c>
      <c r="K30" s="326">
        <f>J30*10</f>
        <v>633393.91999999993</v>
      </c>
      <c r="L30" s="130">
        <f>J28/D28/30</f>
        <v>605.24599156118154</v>
      </c>
      <c r="N30" s="64">
        <f>N28+J30</f>
        <v>203574.67200000002</v>
      </c>
    </row>
    <row r="31" spans="1:19" ht="47.25" hidden="1" customHeight="1" thickBot="1">
      <c r="A31" s="1382"/>
      <c r="B31" s="349"/>
      <c r="C31" s="37"/>
      <c r="D31" s="353"/>
      <c r="E31" s="354"/>
      <c r="F31" s="318"/>
      <c r="G31" s="318"/>
      <c r="H31" s="318"/>
      <c r="I31" s="318"/>
      <c r="J31" s="318"/>
      <c r="K31" s="326"/>
      <c r="L31" s="130">
        <f>J30/D30/30</f>
        <v>599.80484848484832</v>
      </c>
      <c r="N31" s="64">
        <f>N30+J31</f>
        <v>203574.67200000002</v>
      </c>
    </row>
    <row r="32" spans="1:19" ht="28.5" customHeight="1" thickBot="1">
      <c r="A32" s="1382"/>
      <c r="B32" s="38" t="s">
        <v>67</v>
      </c>
      <c r="C32" s="39"/>
      <c r="D32" s="32">
        <f>SUM(D25:D31)</f>
        <v>11.84</v>
      </c>
      <c r="E32" s="32">
        <f t="shared" ref="E32:K32" si="5">SUM(E25:E31)</f>
        <v>19498</v>
      </c>
      <c r="F32" s="32">
        <f t="shared" si="5"/>
        <v>101475.7</v>
      </c>
      <c r="G32" s="32">
        <f t="shared" si="5"/>
        <v>19435.27</v>
      </c>
      <c r="H32" s="32">
        <f t="shared" si="5"/>
        <v>10844.96</v>
      </c>
      <c r="I32" s="32">
        <f t="shared" si="5"/>
        <v>79053.558000000005</v>
      </c>
      <c r="J32" s="32">
        <f>SUM(J25:J31)</f>
        <v>210809.48800000001</v>
      </c>
      <c r="K32" s="32">
        <f t="shared" si="5"/>
        <v>2403035.0720000002</v>
      </c>
      <c r="L32" s="41"/>
    </row>
    <row r="33" spans="1:40" ht="16.5" customHeight="1">
      <c r="A33" s="1382"/>
      <c r="B33" s="54" t="s">
        <v>126</v>
      </c>
      <c r="C33" s="127"/>
      <c r="D33" s="82"/>
      <c r="E33" s="82"/>
      <c r="F33" s="82"/>
      <c r="G33" s="82"/>
      <c r="H33" s="82"/>
      <c r="I33" s="82"/>
      <c r="J33" s="82"/>
      <c r="K33" s="157"/>
      <c r="L33" s="118"/>
    </row>
    <row r="34" spans="1:40" ht="29.25" customHeight="1" thickBot="1">
      <c r="A34" s="1382"/>
      <c r="B34" s="160" t="s">
        <v>56</v>
      </c>
      <c r="C34" s="161"/>
      <c r="D34" s="162"/>
      <c r="E34" s="163"/>
      <c r="F34" s="164"/>
      <c r="G34" s="164"/>
      <c r="H34" s="164"/>
      <c r="I34" s="165"/>
      <c r="J34" s="316">
        <v>24122.86</v>
      </c>
      <c r="K34" s="87">
        <f>J34*12</f>
        <v>289474.32</v>
      </c>
      <c r="L34" s="131"/>
      <c r="T34" s="64">
        <f>J25+J26+J28</f>
        <v>140235.28000000003</v>
      </c>
    </row>
    <row r="35" spans="1:40" ht="38.25" customHeight="1" thickBot="1">
      <c r="A35" s="1383"/>
      <c r="B35" s="30" t="s">
        <v>101</v>
      </c>
      <c r="C35" s="39"/>
      <c r="D35" s="32">
        <f>SUM(D32:D34)</f>
        <v>11.84</v>
      </c>
      <c r="E35" s="32">
        <f t="shared" ref="E35:K35" si="6">SUM(E32:E34)</f>
        <v>19498</v>
      </c>
      <c r="F35" s="32">
        <f t="shared" si="6"/>
        <v>101475.7</v>
      </c>
      <c r="G35" s="32">
        <f t="shared" si="6"/>
        <v>19435.27</v>
      </c>
      <c r="H35" s="32">
        <f t="shared" si="6"/>
        <v>10844.96</v>
      </c>
      <c r="I35" s="32">
        <f t="shared" si="6"/>
        <v>79053.558000000005</v>
      </c>
      <c r="J35" s="32">
        <f t="shared" si="6"/>
        <v>234932.348</v>
      </c>
      <c r="K35" s="40">
        <f t="shared" si="6"/>
        <v>2692509.392</v>
      </c>
      <c r="L35" s="41"/>
      <c r="AN35" s="3">
        <f>J35/D32</f>
        <v>19842.259121621621</v>
      </c>
    </row>
    <row r="36" spans="1:40" ht="12.75" hidden="1" customHeight="1">
      <c r="A36" s="1380" t="s">
        <v>199</v>
      </c>
      <c r="B36" s="43" t="s">
        <v>70</v>
      </c>
      <c r="C36" s="1385" t="s">
        <v>71</v>
      </c>
      <c r="D36" s="88"/>
      <c r="E36" s="89"/>
      <c r="F36" s="90"/>
      <c r="G36" s="91"/>
      <c r="H36" s="91"/>
      <c r="I36" s="85"/>
      <c r="J36" s="36">
        <f t="shared" ref="J36:J41" si="7">F36+G36+H36+I36</f>
        <v>0</v>
      </c>
      <c r="K36" s="143">
        <f t="shared" ref="K36:K48" si="8">J36*4</f>
        <v>0</v>
      </c>
      <c r="L36" s="132" t="e">
        <f>K36/D36/247</f>
        <v>#DIV/0!</v>
      </c>
    </row>
    <row r="37" spans="1:40" ht="12.75" hidden="1" customHeight="1">
      <c r="A37" s="1384"/>
      <c r="B37" s="121" t="s">
        <v>72</v>
      </c>
      <c r="C37" s="1386"/>
      <c r="D37" s="124"/>
      <c r="E37" s="34"/>
      <c r="F37" s="92"/>
      <c r="G37" s="35"/>
      <c r="H37" s="35"/>
      <c r="I37" s="85"/>
      <c r="J37" s="36">
        <f t="shared" si="7"/>
        <v>0</v>
      </c>
      <c r="K37" s="143">
        <f t="shared" si="8"/>
        <v>0</v>
      </c>
      <c r="L37" s="129" t="e">
        <f>K37/D37/247</f>
        <v>#DIV/0!</v>
      </c>
    </row>
    <row r="38" spans="1:40" ht="12.75" hidden="1" customHeight="1">
      <c r="A38" s="1384"/>
      <c r="B38" s="49" t="s">
        <v>73</v>
      </c>
      <c r="C38" s="1386"/>
      <c r="D38" s="93"/>
      <c r="E38" s="94"/>
      <c r="F38" s="92"/>
      <c r="G38" s="35"/>
      <c r="H38" s="35"/>
      <c r="I38" s="95"/>
      <c r="J38" s="96">
        <f t="shared" si="7"/>
        <v>0</v>
      </c>
      <c r="K38" s="143">
        <f t="shared" si="8"/>
        <v>0</v>
      </c>
      <c r="L38" s="129" t="e">
        <f>K38/D38/247</f>
        <v>#DIV/0!</v>
      </c>
    </row>
    <row r="39" spans="1:40" ht="12.75" hidden="1" customHeight="1">
      <c r="A39" s="1384"/>
      <c r="B39" s="121" t="s">
        <v>74</v>
      </c>
      <c r="C39" s="1387"/>
      <c r="D39" s="33"/>
      <c r="E39" s="34"/>
      <c r="F39" s="92"/>
      <c r="G39" s="35"/>
      <c r="H39" s="35"/>
      <c r="I39" s="85"/>
      <c r="J39" s="36">
        <f t="shared" si="7"/>
        <v>0</v>
      </c>
      <c r="K39" s="143">
        <f t="shared" si="8"/>
        <v>0</v>
      </c>
      <c r="L39" s="129" t="e">
        <f>K39/D39/247</f>
        <v>#DIV/0!</v>
      </c>
    </row>
    <row r="40" spans="1:40" ht="178.5" hidden="1" customHeight="1">
      <c r="A40" s="1384"/>
      <c r="B40" s="121" t="s">
        <v>75</v>
      </c>
      <c r="C40" s="97" t="s">
        <v>76</v>
      </c>
      <c r="D40" s="98"/>
      <c r="E40" s="34"/>
      <c r="F40" s="92"/>
      <c r="G40" s="35"/>
      <c r="H40" s="35"/>
      <c r="I40" s="85"/>
      <c r="J40" s="36">
        <f t="shared" si="7"/>
        <v>0</v>
      </c>
      <c r="K40" s="143">
        <f t="shared" si="8"/>
        <v>0</v>
      </c>
      <c r="L40" s="129" t="e">
        <f>K40/D40/247</f>
        <v>#DIV/0!</v>
      </c>
    </row>
    <row r="41" spans="1:40" ht="12.75" hidden="1" customHeight="1">
      <c r="A41" s="1384"/>
      <c r="B41" s="121"/>
      <c r="C41" s="122"/>
      <c r="D41" s="50"/>
      <c r="E41" s="50"/>
      <c r="F41" s="50"/>
      <c r="G41" s="50"/>
      <c r="H41" s="50"/>
      <c r="I41" s="51">
        <f>(F41+G41+H41)*60%</f>
        <v>0</v>
      </c>
      <c r="J41" s="51">
        <f t="shared" si="7"/>
        <v>0</v>
      </c>
      <c r="K41" s="143">
        <f t="shared" si="8"/>
        <v>0</v>
      </c>
      <c r="L41" s="129"/>
    </row>
    <row r="42" spans="1:40" ht="12" hidden="1" customHeight="1">
      <c r="A42" s="1384"/>
      <c r="B42" s="121"/>
      <c r="C42" s="122"/>
      <c r="D42" s="122"/>
      <c r="E42" s="14"/>
      <c r="F42" s="48"/>
      <c r="G42" s="15"/>
      <c r="H42" s="15"/>
      <c r="I42" s="15"/>
      <c r="J42" s="15">
        <v>0</v>
      </c>
      <c r="K42" s="143">
        <f t="shared" si="8"/>
        <v>0</v>
      </c>
      <c r="L42" s="133"/>
    </row>
    <row r="43" spans="1:40" ht="12" hidden="1" customHeight="1">
      <c r="A43" s="1384"/>
      <c r="B43" s="121"/>
      <c r="C43" s="122"/>
      <c r="D43" s="17"/>
      <c r="E43" s="14"/>
      <c r="F43" s="48"/>
      <c r="G43" s="15"/>
      <c r="H43" s="15"/>
      <c r="I43" s="15"/>
      <c r="J43" s="15">
        <v>0</v>
      </c>
      <c r="K43" s="143">
        <f t="shared" si="8"/>
        <v>0</v>
      </c>
      <c r="L43" s="133"/>
    </row>
    <row r="44" spans="1:40" ht="12" hidden="1" customHeight="1">
      <c r="A44" s="1384"/>
      <c r="B44" s="18"/>
      <c r="C44" s="19"/>
      <c r="D44" s="52"/>
      <c r="E44" s="20"/>
      <c r="F44" s="53"/>
      <c r="G44" s="21"/>
      <c r="H44" s="21"/>
      <c r="I44" s="21"/>
      <c r="J44" s="21"/>
      <c r="K44" s="143">
        <f t="shared" si="8"/>
        <v>0</v>
      </c>
      <c r="L44" s="134"/>
    </row>
    <row r="45" spans="1:40" ht="12.75" hidden="1" customHeight="1" thickBot="1">
      <c r="A45" s="1384"/>
      <c r="B45" s="18"/>
      <c r="C45" s="19"/>
      <c r="D45" s="52"/>
      <c r="E45" s="20"/>
      <c r="F45" s="53"/>
      <c r="G45" s="21"/>
      <c r="H45" s="21"/>
      <c r="I45" s="21"/>
      <c r="J45" s="21">
        <v>0</v>
      </c>
      <c r="K45" s="143">
        <f t="shared" si="8"/>
        <v>0</v>
      </c>
      <c r="L45" s="134"/>
    </row>
    <row r="46" spans="1:40" ht="12.75" hidden="1" customHeight="1" thickBot="1">
      <c r="A46" s="329"/>
      <c r="B46" s="23" t="s">
        <v>67</v>
      </c>
      <c r="C46" s="24"/>
      <c r="D46" s="26">
        <f>SUM(D36:D45)</f>
        <v>0</v>
      </c>
      <c r="E46" s="26">
        <f t="shared" ref="E46:K46" si="9">SUM(E36:E45)</f>
        <v>0</v>
      </c>
      <c r="F46" s="26">
        <f t="shared" si="9"/>
        <v>0</v>
      </c>
      <c r="G46" s="26">
        <f t="shared" si="9"/>
        <v>0</v>
      </c>
      <c r="H46" s="26">
        <f t="shared" si="9"/>
        <v>0</v>
      </c>
      <c r="I46" s="26">
        <f t="shared" si="9"/>
        <v>0</v>
      </c>
      <c r="J46" s="26">
        <f t="shared" si="9"/>
        <v>0</v>
      </c>
      <c r="K46" s="144">
        <f t="shared" si="9"/>
        <v>0</v>
      </c>
      <c r="L46" s="135"/>
    </row>
    <row r="47" spans="1:40" ht="24" hidden="1" customHeight="1">
      <c r="A47" s="329"/>
      <c r="B47" s="54" t="s">
        <v>77</v>
      </c>
      <c r="C47" s="120"/>
      <c r="D47" s="44"/>
      <c r="E47" s="45"/>
      <c r="F47" s="46"/>
      <c r="G47" s="47"/>
      <c r="H47" s="47"/>
      <c r="I47" s="47"/>
      <c r="J47" s="47">
        <f>J46*15%</f>
        <v>0</v>
      </c>
      <c r="K47" s="145">
        <f t="shared" si="8"/>
        <v>0</v>
      </c>
      <c r="L47" s="133"/>
    </row>
    <row r="48" spans="1:40" ht="48.75" hidden="1" customHeight="1" thickBot="1">
      <c r="A48" s="329"/>
      <c r="B48" s="55" t="s">
        <v>78</v>
      </c>
      <c r="C48" s="19"/>
      <c r="D48" s="52"/>
      <c r="E48" s="20"/>
      <c r="F48" s="53"/>
      <c r="G48" s="21"/>
      <c r="H48" s="21"/>
      <c r="I48" s="21"/>
      <c r="J48" s="21"/>
      <c r="K48" s="143">
        <f t="shared" si="8"/>
        <v>0</v>
      </c>
      <c r="L48" s="134"/>
    </row>
    <row r="49" spans="1:17" s="59" customFormat="1" ht="36" hidden="1" customHeight="1" thickBot="1">
      <c r="A49" s="146"/>
      <c r="B49" s="56" t="s">
        <v>79</v>
      </c>
      <c r="C49" s="57"/>
      <c r="D49" s="58">
        <f t="shared" ref="D49:K49" si="10">D46+D47+D48</f>
        <v>0</v>
      </c>
      <c r="E49" s="58">
        <f t="shared" si="10"/>
        <v>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si="10"/>
        <v>0</v>
      </c>
      <c r="J49" s="58">
        <f t="shared" si="10"/>
        <v>0</v>
      </c>
      <c r="K49" s="147">
        <f t="shared" si="10"/>
        <v>0</v>
      </c>
      <c r="L49" s="136"/>
    </row>
    <row r="50" spans="1:17" ht="36.75" hidden="1" customHeight="1" thickBot="1">
      <c r="A50" s="60"/>
      <c r="B50" s="61" t="s">
        <v>102</v>
      </c>
      <c r="C50" s="62" t="s">
        <v>100</v>
      </c>
      <c r="D50" s="26"/>
      <c r="E50" s="26"/>
      <c r="F50" s="26"/>
      <c r="G50" s="26"/>
      <c r="H50" s="26"/>
      <c r="I50" s="26"/>
      <c r="J50" s="26"/>
      <c r="K50" s="144"/>
      <c r="L50" s="41"/>
    </row>
    <row r="51" spans="1:17" ht="18.75" hidden="1" customHeight="1">
      <c r="A51" s="1360" t="s">
        <v>26</v>
      </c>
      <c r="B51" s="1361"/>
      <c r="C51" s="1361"/>
      <c r="D51" s="1361"/>
      <c r="E51" s="1361"/>
      <c r="F51" s="1361"/>
      <c r="G51" s="1361"/>
      <c r="H51" s="1361"/>
      <c r="I51" s="1361"/>
      <c r="J51" s="1361"/>
      <c r="K51" s="1362"/>
      <c r="L51" s="128"/>
    </row>
    <row r="52" spans="1:17" ht="76.5" hidden="1" customHeight="1">
      <c r="A52" s="1380" t="s">
        <v>27</v>
      </c>
      <c r="B52" s="49" t="s">
        <v>28</v>
      </c>
      <c r="C52" s="97" t="s">
        <v>29</v>
      </c>
      <c r="D52" s="116"/>
      <c r="E52" s="99"/>
      <c r="F52" s="99"/>
      <c r="G52" s="99"/>
      <c r="H52" s="99"/>
      <c r="I52" s="111"/>
      <c r="J52" s="111"/>
      <c r="K52" s="143"/>
      <c r="L52" s="129">
        <f>((J52+J53+J54)/(4.3*1093))</f>
        <v>0</v>
      </c>
      <c r="M52" s="63"/>
      <c r="N52" s="64"/>
    </row>
    <row r="53" spans="1:17" ht="72" hidden="1" customHeight="1">
      <c r="A53" s="1380"/>
      <c r="B53" s="121" t="s">
        <v>30</v>
      </c>
      <c r="C53" s="122" t="s">
        <v>29</v>
      </c>
      <c r="D53" s="98"/>
      <c r="E53" s="35"/>
      <c r="F53" s="35"/>
      <c r="G53" s="35"/>
      <c r="H53" s="35"/>
      <c r="I53" s="111"/>
      <c r="J53" s="111"/>
      <c r="K53" s="143"/>
      <c r="L53" s="133"/>
    </row>
    <row r="54" spans="1:17" ht="72" hidden="1" customHeight="1">
      <c r="A54" s="1380"/>
      <c r="B54" s="121" t="s">
        <v>31</v>
      </c>
      <c r="C54" s="122" t="s">
        <v>29</v>
      </c>
      <c r="D54" s="100"/>
      <c r="E54" s="101"/>
      <c r="F54" s="36"/>
      <c r="G54" s="85"/>
      <c r="H54" s="85"/>
      <c r="I54" s="85"/>
      <c r="J54" s="85"/>
      <c r="K54" s="143"/>
      <c r="L54" s="129"/>
      <c r="M54" s="63"/>
      <c r="N54" s="63"/>
      <c r="O54" s="64"/>
    </row>
    <row r="55" spans="1:17" ht="72" hidden="1" customHeight="1">
      <c r="A55" s="1380" t="s">
        <v>32</v>
      </c>
      <c r="B55" s="121" t="s">
        <v>33</v>
      </c>
      <c r="C55" s="122" t="s">
        <v>34</v>
      </c>
      <c r="D55" s="102"/>
      <c r="E55" s="101"/>
      <c r="F55" s="85"/>
      <c r="G55" s="85"/>
      <c r="H55" s="85"/>
      <c r="I55" s="85"/>
      <c r="J55" s="85"/>
      <c r="K55" s="143"/>
      <c r="L55" s="137">
        <f>J55/36</f>
        <v>0</v>
      </c>
    </row>
    <row r="56" spans="1:17" ht="72" hidden="1" customHeight="1">
      <c r="A56" s="1380"/>
      <c r="B56" s="121" t="s">
        <v>35</v>
      </c>
      <c r="C56" s="122" t="s">
        <v>36</v>
      </c>
      <c r="D56" s="103"/>
      <c r="E56" s="36"/>
      <c r="F56" s="36"/>
      <c r="G56" s="36"/>
      <c r="H56" s="36"/>
      <c r="I56" s="36"/>
      <c r="J56" s="36"/>
      <c r="K56" s="143"/>
      <c r="L56" s="137">
        <f>J56/36</f>
        <v>0</v>
      </c>
    </row>
    <row r="57" spans="1:17" ht="72" hidden="1" customHeight="1">
      <c r="A57" s="1380"/>
      <c r="B57" s="121" t="s">
        <v>37</v>
      </c>
      <c r="C57" s="122" t="s">
        <v>29</v>
      </c>
      <c r="D57" s="102"/>
      <c r="E57" s="101"/>
      <c r="F57" s="85"/>
      <c r="G57" s="85"/>
      <c r="H57" s="85"/>
      <c r="I57" s="85"/>
      <c r="J57" s="85"/>
      <c r="K57" s="143"/>
      <c r="L57" s="137" t="e">
        <f>J57/D57/36</f>
        <v>#DIV/0!</v>
      </c>
    </row>
    <row r="58" spans="1:17" ht="72" hidden="1" customHeight="1">
      <c r="A58" s="1380"/>
      <c r="B58" s="121" t="s">
        <v>38</v>
      </c>
      <c r="C58" s="122" t="s">
        <v>29</v>
      </c>
      <c r="D58" s="17"/>
      <c r="E58" s="16"/>
      <c r="F58" s="16"/>
      <c r="G58" s="16"/>
      <c r="H58" s="16"/>
      <c r="I58" s="16"/>
      <c r="J58" s="16"/>
      <c r="K58" s="143"/>
      <c r="L58" s="137" t="e">
        <f>J58/D58/36</f>
        <v>#DIV/0!</v>
      </c>
      <c r="Q58" s="66"/>
    </row>
    <row r="59" spans="1:17" ht="72" hidden="1" customHeight="1">
      <c r="A59" s="1380"/>
      <c r="B59" s="121" t="s">
        <v>39</v>
      </c>
      <c r="C59" s="122" t="s">
        <v>29</v>
      </c>
      <c r="D59" s="102"/>
      <c r="E59" s="101"/>
      <c r="F59" s="85"/>
      <c r="G59" s="85"/>
      <c r="H59" s="85"/>
      <c r="I59" s="85"/>
      <c r="J59" s="85"/>
      <c r="K59" s="143"/>
      <c r="L59" s="137" t="e">
        <f>J59/D59/36</f>
        <v>#DIV/0!</v>
      </c>
    </row>
    <row r="60" spans="1:17" ht="72" hidden="1" customHeight="1">
      <c r="A60" s="1384"/>
      <c r="B60" s="121" t="s">
        <v>40</v>
      </c>
      <c r="C60" s="122" t="s">
        <v>29</v>
      </c>
      <c r="D60" s="36"/>
      <c r="E60" s="36"/>
      <c r="F60" s="36"/>
      <c r="G60" s="36"/>
      <c r="H60" s="36"/>
      <c r="I60" s="36"/>
      <c r="J60" s="36"/>
      <c r="K60" s="143"/>
      <c r="L60" s="137" t="e">
        <f>J60/D60/20</f>
        <v>#DIV/0!</v>
      </c>
    </row>
    <row r="61" spans="1:17" ht="72" hidden="1" customHeight="1">
      <c r="A61" s="1384"/>
      <c r="B61" s="121" t="s">
        <v>41</v>
      </c>
      <c r="C61" s="122" t="s">
        <v>42</v>
      </c>
      <c r="D61" s="36"/>
      <c r="E61" s="36"/>
      <c r="F61" s="36"/>
      <c r="G61" s="36"/>
      <c r="H61" s="36"/>
      <c r="I61" s="36"/>
      <c r="J61" s="36"/>
      <c r="K61" s="143"/>
      <c r="L61" s="137" t="e">
        <f>J61/D61/36</f>
        <v>#DIV/0!</v>
      </c>
    </row>
    <row r="62" spans="1:17" ht="72" hidden="1" customHeight="1">
      <c r="A62" s="1384"/>
      <c r="B62" s="121" t="s">
        <v>43</v>
      </c>
      <c r="C62" s="122" t="s">
        <v>34</v>
      </c>
      <c r="D62" s="113"/>
      <c r="E62" s="96"/>
      <c r="F62" s="96"/>
      <c r="G62" s="96"/>
      <c r="H62" s="96"/>
      <c r="I62" s="96"/>
      <c r="J62" s="96"/>
      <c r="K62" s="143"/>
      <c r="L62" s="138">
        <f>J62/(4.3*27)</f>
        <v>0</v>
      </c>
      <c r="M62" s="67"/>
      <c r="N62" s="67"/>
      <c r="O62" s="67"/>
    </row>
    <row r="63" spans="1:17" ht="72" hidden="1" customHeight="1">
      <c r="A63" s="1384"/>
      <c r="B63" s="121" t="s">
        <v>44</v>
      </c>
      <c r="C63" s="122" t="s">
        <v>42</v>
      </c>
      <c r="D63" s="36"/>
      <c r="E63" s="36"/>
      <c r="F63" s="36"/>
      <c r="G63" s="36"/>
      <c r="H63" s="36"/>
      <c r="I63" s="36"/>
      <c r="J63" s="36"/>
      <c r="K63" s="143"/>
      <c r="L63" s="137" t="e">
        <f>J63/D63/36</f>
        <v>#DIV/0!</v>
      </c>
    </row>
    <row r="64" spans="1:17" ht="72" hidden="1" customHeight="1">
      <c r="A64" s="330"/>
      <c r="B64" s="121" t="s">
        <v>45</v>
      </c>
      <c r="C64" s="122" t="s">
        <v>29</v>
      </c>
      <c r="D64" s="104"/>
      <c r="E64" s="78"/>
      <c r="F64" s="103"/>
      <c r="G64" s="103"/>
      <c r="H64" s="103"/>
      <c r="I64" s="85"/>
      <c r="J64" s="85"/>
      <c r="K64" s="143"/>
      <c r="L64" s="137" t="e">
        <f>J64/D64/20</f>
        <v>#DIV/0!</v>
      </c>
    </row>
    <row r="65" spans="1:18" ht="72" hidden="1" customHeight="1">
      <c r="A65" s="330"/>
      <c r="B65" s="121" t="s">
        <v>46</v>
      </c>
      <c r="C65" s="122" t="s">
        <v>29</v>
      </c>
      <c r="D65" s="68"/>
      <c r="E65" s="16"/>
      <c r="F65" s="16"/>
      <c r="G65" s="16"/>
      <c r="H65" s="16"/>
      <c r="I65" s="16"/>
      <c r="J65" s="16"/>
      <c r="K65" s="143"/>
      <c r="L65" s="137" t="e">
        <f>J65/D65/20</f>
        <v>#DIV/0!</v>
      </c>
    </row>
    <row r="66" spans="1:18" ht="72" hidden="1" customHeight="1">
      <c r="A66" s="330"/>
      <c r="B66" s="121" t="s">
        <v>47</v>
      </c>
      <c r="C66" s="122" t="s">
        <v>34</v>
      </c>
      <c r="D66" s="65"/>
      <c r="E66" s="16"/>
      <c r="F66" s="16"/>
      <c r="G66" s="16"/>
      <c r="H66" s="16"/>
      <c r="I66" s="16"/>
      <c r="J66" s="16"/>
      <c r="K66" s="143"/>
      <c r="L66" s="137" t="e">
        <f>J66/D66/36</f>
        <v>#DIV/0!</v>
      </c>
    </row>
    <row r="67" spans="1:18" ht="72" hidden="1" customHeight="1">
      <c r="A67" s="330"/>
      <c r="B67" s="121" t="s">
        <v>48</v>
      </c>
      <c r="C67" s="122" t="s">
        <v>42</v>
      </c>
      <c r="D67" s="102"/>
      <c r="E67" s="105"/>
      <c r="F67" s="85"/>
      <c r="G67" s="85"/>
      <c r="H67" s="85"/>
      <c r="I67" s="85"/>
      <c r="J67" s="85"/>
      <c r="K67" s="143"/>
      <c r="L67" s="137" t="e">
        <f>J67/D67/36</f>
        <v>#DIV/0!</v>
      </c>
    </row>
    <row r="68" spans="1:18" ht="72" hidden="1" customHeight="1">
      <c r="A68" s="330"/>
      <c r="B68" s="121" t="s">
        <v>49</v>
      </c>
      <c r="C68" s="122" t="s">
        <v>36</v>
      </c>
      <c r="D68" s="102"/>
      <c r="E68" s="101"/>
      <c r="F68" s="85"/>
      <c r="G68" s="85"/>
      <c r="H68" s="85"/>
      <c r="I68" s="85"/>
      <c r="J68" s="85"/>
      <c r="K68" s="143"/>
      <c r="L68" s="137" t="e">
        <f>J68/D68/36</f>
        <v>#DIV/0!</v>
      </c>
    </row>
    <row r="69" spans="1:18" ht="12.75" hidden="1" customHeight="1">
      <c r="A69" s="330"/>
      <c r="B69" s="49" t="s">
        <v>50</v>
      </c>
      <c r="C69" s="122"/>
      <c r="D69" s="106"/>
      <c r="E69" s="107"/>
      <c r="F69" s="95"/>
      <c r="G69" s="95"/>
      <c r="H69" s="95"/>
      <c r="I69" s="95"/>
      <c r="J69" s="95"/>
      <c r="K69" s="143"/>
      <c r="L69" s="137"/>
    </row>
    <row r="70" spans="1:18" ht="96" hidden="1" customHeight="1">
      <c r="A70" s="330"/>
      <c r="B70" s="121" t="s">
        <v>51</v>
      </c>
      <c r="C70" s="122" t="s">
        <v>52</v>
      </c>
      <c r="D70" s="65"/>
      <c r="E70" s="16"/>
      <c r="F70" s="16"/>
      <c r="G70" s="16"/>
      <c r="H70" s="16"/>
      <c r="I70" s="16"/>
      <c r="J70" s="16"/>
      <c r="K70" s="143"/>
      <c r="L70" s="137" t="e">
        <f>J70/D70/36</f>
        <v>#DIV/0!</v>
      </c>
    </row>
    <row r="71" spans="1:18" ht="72" hidden="1" customHeight="1">
      <c r="A71" s="330"/>
      <c r="B71" s="121" t="s">
        <v>53</v>
      </c>
      <c r="C71" s="122" t="s">
        <v>29</v>
      </c>
      <c r="D71" s="65"/>
      <c r="E71" s="16"/>
      <c r="F71" s="16"/>
      <c r="G71" s="16"/>
      <c r="H71" s="16"/>
      <c r="I71" s="16"/>
      <c r="J71" s="16"/>
      <c r="K71" s="143"/>
      <c r="L71" s="139"/>
    </row>
    <row r="72" spans="1:18" ht="13.5" hidden="1" customHeight="1" thickBot="1">
      <c r="A72" s="330"/>
      <c r="B72" s="18" t="s">
        <v>54</v>
      </c>
      <c r="C72" s="19"/>
      <c r="D72" s="103"/>
      <c r="E72" s="101"/>
      <c r="F72" s="85"/>
      <c r="G72" s="85"/>
      <c r="H72" s="85"/>
      <c r="I72" s="85"/>
      <c r="J72" s="36"/>
      <c r="K72" s="143"/>
      <c r="L72" s="140"/>
    </row>
    <row r="73" spans="1:18" ht="12.75" hidden="1" customHeight="1" thickBot="1">
      <c r="A73" s="148"/>
      <c r="B73" s="23"/>
      <c r="C73" s="71"/>
      <c r="D73" s="72">
        <f>SUM(D52:D72)</f>
        <v>0</v>
      </c>
      <c r="E73" s="72">
        <f t="shared" ref="E73:K73" si="11">SUM(E52:E72)</f>
        <v>0</v>
      </c>
      <c r="F73" s="72">
        <f t="shared" si="11"/>
        <v>0</v>
      </c>
      <c r="G73" s="72">
        <f t="shared" si="11"/>
        <v>0</v>
      </c>
      <c r="H73" s="72">
        <f t="shared" si="11"/>
        <v>0</v>
      </c>
      <c r="I73" s="72">
        <f t="shared" si="11"/>
        <v>0</v>
      </c>
      <c r="J73" s="72">
        <f t="shared" si="11"/>
        <v>0</v>
      </c>
      <c r="K73" s="73">
        <f t="shared" si="11"/>
        <v>0</v>
      </c>
      <c r="L73" s="141" t="e">
        <f t="shared" ref="L73" si="12">SUM(L52:L71)</f>
        <v>#DIV/0!</v>
      </c>
    </row>
    <row r="74" spans="1:18" ht="12" hidden="1" customHeight="1">
      <c r="A74" s="329"/>
      <c r="B74" s="43" t="s">
        <v>55</v>
      </c>
      <c r="C74" s="125"/>
      <c r="D74" s="74"/>
      <c r="E74" s="74"/>
      <c r="F74" s="74"/>
      <c r="G74" s="74"/>
      <c r="H74" s="74"/>
      <c r="I74" s="74"/>
      <c r="J74" s="108"/>
      <c r="K74" s="143">
        <f>J74*4</f>
        <v>0</v>
      </c>
      <c r="L74" s="142"/>
    </row>
    <row r="75" spans="1:18" ht="13.5" hidden="1" customHeight="1" thickBot="1">
      <c r="A75" s="149"/>
      <c r="B75" s="18" t="s">
        <v>56</v>
      </c>
      <c r="C75" s="75"/>
      <c r="D75" s="70"/>
      <c r="E75" s="22"/>
      <c r="F75" s="22"/>
      <c r="G75" s="22"/>
      <c r="H75" s="22"/>
      <c r="I75" s="22"/>
      <c r="J75" s="96"/>
      <c r="K75" s="150">
        <f t="shared" ref="K75" si="13">J75*4</f>
        <v>0</v>
      </c>
      <c r="L75" s="139"/>
    </row>
    <row r="76" spans="1:18" ht="15.75" hidden="1" customHeight="1" thickBot="1">
      <c r="A76" s="1388" t="s">
        <v>57</v>
      </c>
      <c r="B76" s="1389"/>
      <c r="C76" s="71"/>
      <c r="D76" s="76">
        <f t="shared" ref="D76:K76" si="14">D73+D74+D75</f>
        <v>0</v>
      </c>
      <c r="E76" s="76">
        <f t="shared" si="14"/>
        <v>0</v>
      </c>
      <c r="F76" s="76">
        <f t="shared" si="14"/>
        <v>0</v>
      </c>
      <c r="G76" s="76">
        <f t="shared" si="14"/>
        <v>0</v>
      </c>
      <c r="H76" s="76">
        <f t="shared" si="14"/>
        <v>0</v>
      </c>
      <c r="I76" s="76">
        <f t="shared" si="14"/>
        <v>0</v>
      </c>
      <c r="J76" s="76">
        <f t="shared" si="14"/>
        <v>0</v>
      </c>
      <c r="K76" s="109">
        <f t="shared" si="14"/>
        <v>0</v>
      </c>
      <c r="L76" s="41"/>
      <c r="O76" s="77"/>
    </row>
    <row r="77" spans="1:18" ht="20.25" hidden="1" customHeight="1">
      <c r="A77" s="330"/>
      <c r="B77" s="27"/>
      <c r="C77" s="1390" t="s">
        <v>80</v>
      </c>
      <c r="D77" s="1391"/>
      <c r="E77" s="1391"/>
      <c r="F77" s="1391"/>
      <c r="G77" s="1391"/>
      <c r="H77" s="1391"/>
      <c r="I77" s="1391"/>
      <c r="J77" s="1391"/>
      <c r="K77" s="1392"/>
      <c r="L77" s="128"/>
      <c r="M77" s="42"/>
    </row>
    <row r="78" spans="1:18" ht="78.75" hidden="1" customHeight="1">
      <c r="A78" s="1393" t="s">
        <v>81</v>
      </c>
      <c r="B78" s="167" t="s">
        <v>82</v>
      </c>
      <c r="C78" s="1397" t="s">
        <v>83</v>
      </c>
      <c r="D78" s="168"/>
      <c r="E78" s="169"/>
      <c r="F78" s="170"/>
      <c r="G78" s="170"/>
      <c r="H78" s="170"/>
      <c r="I78" s="171"/>
      <c r="J78" s="171"/>
      <c r="K78" s="172">
        <f t="shared" ref="K78:K101" si="15">J78*4</f>
        <v>0</v>
      </c>
      <c r="L78" s="129" t="e">
        <f>(J78-G78)*12/D78/247</f>
        <v>#DIV/0!</v>
      </c>
    </row>
    <row r="79" spans="1:18" ht="12.75" hidden="1" customHeight="1">
      <c r="A79" s="1394"/>
      <c r="B79" s="173" t="s">
        <v>84</v>
      </c>
      <c r="C79" s="1398"/>
      <c r="D79" s="124"/>
      <c r="E79" s="34"/>
      <c r="F79" s="110"/>
      <c r="G79" s="35"/>
      <c r="H79" s="110"/>
      <c r="I79" s="79"/>
      <c r="J79" s="79"/>
      <c r="K79" s="143">
        <f t="shared" si="15"/>
        <v>0</v>
      </c>
      <c r="L79" s="129" t="e">
        <f>K79/D79/247</f>
        <v>#DIV/0!</v>
      </c>
    </row>
    <row r="80" spans="1:18" ht="38.25" customHeight="1" thickBot="1">
      <c r="A80" s="1394"/>
      <c r="B80" s="173" t="s">
        <v>85</v>
      </c>
      <c r="C80" s="1398"/>
      <c r="D80" s="317">
        <v>0.62</v>
      </c>
      <c r="E80" s="355">
        <v>3016</v>
      </c>
      <c r="F80" s="348">
        <f>D80*E80</f>
        <v>1869.92</v>
      </c>
      <c r="G80" s="355">
        <v>224.39</v>
      </c>
      <c r="H80" s="355">
        <v>467.48</v>
      </c>
      <c r="I80" s="318">
        <f>(F80+G80+H80)*60%</f>
        <v>1537.0739999999998</v>
      </c>
      <c r="J80" s="318">
        <f>F80+G80+H80+I80</f>
        <v>4098.8639999999996</v>
      </c>
      <c r="K80" s="87">
        <f>J80*12</f>
        <v>49186.367999999995</v>
      </c>
      <c r="L80" s="129">
        <f t="shared" ref="L80:L92" si="16">(J80-G80)*12/D80/247</f>
        <v>303.60250750946847</v>
      </c>
      <c r="R80" s="3" t="s">
        <v>120</v>
      </c>
    </row>
    <row r="81" spans="1:12" ht="51" hidden="1" customHeight="1">
      <c r="A81" s="1394"/>
      <c r="B81" s="173" t="s">
        <v>95</v>
      </c>
      <c r="C81" s="1398"/>
      <c r="D81" s="124"/>
      <c r="E81" s="34"/>
      <c r="F81" s="112"/>
      <c r="G81" s="35"/>
      <c r="H81" s="35"/>
      <c r="I81" s="79"/>
      <c r="J81" s="79"/>
      <c r="K81" s="143">
        <f t="shared" si="15"/>
        <v>0</v>
      </c>
      <c r="L81" s="129"/>
    </row>
    <row r="82" spans="1:12" ht="12.75" hidden="1" customHeight="1">
      <c r="A82" s="1394"/>
      <c r="B82" s="173" t="s">
        <v>93</v>
      </c>
      <c r="C82" s="1398"/>
      <c r="D82" s="124"/>
      <c r="E82" s="78"/>
      <c r="F82" s="34"/>
      <c r="G82" s="35"/>
      <c r="H82" s="35"/>
      <c r="I82" s="111"/>
      <c r="J82" s="111"/>
      <c r="K82" s="143">
        <f t="shared" si="15"/>
        <v>0</v>
      </c>
      <c r="L82" s="129"/>
    </row>
    <row r="83" spans="1:12" ht="12.75" hidden="1" customHeight="1">
      <c r="A83" s="1394"/>
      <c r="B83" s="173" t="s">
        <v>108</v>
      </c>
      <c r="C83" s="1398"/>
      <c r="D83" s="124"/>
      <c r="E83" s="78"/>
      <c r="F83" s="34"/>
      <c r="G83" s="35"/>
      <c r="H83" s="35"/>
      <c r="I83" s="79"/>
      <c r="J83" s="79"/>
      <c r="K83" s="143">
        <f t="shared" si="15"/>
        <v>0</v>
      </c>
      <c r="L83" s="129"/>
    </row>
    <row r="84" spans="1:12" ht="24" hidden="1" customHeight="1">
      <c r="A84" s="1394"/>
      <c r="B84" s="173" t="s">
        <v>86</v>
      </c>
      <c r="C84" s="1398"/>
      <c r="D84" s="124"/>
      <c r="E84" s="78"/>
      <c r="F84" s="34"/>
      <c r="G84" s="35"/>
      <c r="H84" s="35"/>
      <c r="I84" s="111"/>
      <c r="J84" s="111"/>
      <c r="K84" s="143">
        <f t="shared" si="15"/>
        <v>0</v>
      </c>
      <c r="L84" s="129" t="e">
        <f t="shared" si="16"/>
        <v>#DIV/0!</v>
      </c>
    </row>
    <row r="85" spans="1:12" ht="12" hidden="1" customHeight="1">
      <c r="A85" s="1394"/>
      <c r="B85" s="173" t="s">
        <v>87</v>
      </c>
      <c r="C85" s="1398"/>
      <c r="D85" s="122"/>
      <c r="E85" s="14"/>
      <c r="F85" s="14"/>
      <c r="G85" s="15"/>
      <c r="H85" s="15"/>
      <c r="I85" s="16"/>
      <c r="J85" s="16"/>
      <c r="K85" s="143">
        <f t="shared" si="15"/>
        <v>0</v>
      </c>
      <c r="L85" s="129" t="e">
        <f t="shared" si="16"/>
        <v>#DIV/0!</v>
      </c>
    </row>
    <row r="86" spans="1:12" ht="36" hidden="1" customHeight="1">
      <c r="A86" s="1394"/>
      <c r="B86" s="173" t="s">
        <v>109</v>
      </c>
      <c r="C86" s="1398"/>
      <c r="D86" s="33"/>
      <c r="E86" s="33"/>
      <c r="F86" s="34"/>
      <c r="G86" s="35"/>
      <c r="H86" s="35"/>
      <c r="I86" s="111"/>
      <c r="J86" s="111"/>
      <c r="K86" s="143">
        <f t="shared" si="15"/>
        <v>0</v>
      </c>
      <c r="L86" s="129" t="e">
        <f t="shared" si="16"/>
        <v>#DIV/0!</v>
      </c>
    </row>
    <row r="87" spans="1:12" ht="13.5" hidden="1" customHeight="1" thickBot="1">
      <c r="A87" s="1394"/>
      <c r="B87" s="174" t="s">
        <v>88</v>
      </c>
      <c r="C87" s="1399"/>
      <c r="D87" s="175"/>
      <c r="E87" s="176"/>
      <c r="F87" s="177"/>
      <c r="G87" s="178"/>
      <c r="H87" s="179"/>
      <c r="I87" s="180"/>
      <c r="J87" s="180"/>
      <c r="K87" s="181">
        <f t="shared" si="15"/>
        <v>0</v>
      </c>
      <c r="L87" s="133"/>
    </row>
    <row r="88" spans="1:12" ht="132" hidden="1" customHeight="1">
      <c r="A88" s="1394"/>
      <c r="B88" s="43" t="s">
        <v>89</v>
      </c>
      <c r="C88" s="120" t="s">
        <v>90</v>
      </c>
      <c r="D88" s="115"/>
      <c r="E88" s="89"/>
      <c r="F88" s="112"/>
      <c r="G88" s="91"/>
      <c r="H88" s="91"/>
      <c r="I88" s="166"/>
      <c r="J88" s="166"/>
      <c r="K88" s="145">
        <f t="shared" si="15"/>
        <v>0</v>
      </c>
      <c r="L88" s="129" t="e">
        <f>K88/D88/247</f>
        <v>#DIV/0!</v>
      </c>
    </row>
    <row r="89" spans="1:12" ht="132" hidden="1" customHeight="1">
      <c r="A89" s="1394"/>
      <c r="B89" s="121" t="s">
        <v>91</v>
      </c>
      <c r="C89" s="122" t="s">
        <v>92</v>
      </c>
      <c r="D89" s="124"/>
      <c r="E89" s="33"/>
      <c r="F89" s="112"/>
      <c r="G89" s="35"/>
      <c r="H89" s="35"/>
      <c r="I89" s="79"/>
      <c r="J89" s="79"/>
      <c r="K89" s="143">
        <f t="shared" si="15"/>
        <v>0</v>
      </c>
      <c r="L89" s="129" t="e">
        <f t="shared" si="16"/>
        <v>#DIV/0!</v>
      </c>
    </row>
    <row r="90" spans="1:12" ht="12" hidden="1" customHeight="1">
      <c r="A90" s="1394"/>
      <c r="B90" s="121" t="s">
        <v>97</v>
      </c>
      <c r="C90" s="122"/>
      <c r="D90" s="122"/>
      <c r="E90" s="14"/>
      <c r="F90" s="14"/>
      <c r="G90" s="15"/>
      <c r="H90" s="15"/>
      <c r="I90" s="69"/>
      <c r="J90" s="69"/>
      <c r="K90" s="143">
        <f t="shared" si="15"/>
        <v>0</v>
      </c>
      <c r="L90" s="129" t="e">
        <f t="shared" si="16"/>
        <v>#DIV/0!</v>
      </c>
    </row>
    <row r="91" spans="1:12" ht="132" hidden="1" customHeight="1">
      <c r="A91" s="1394"/>
      <c r="B91" s="123" t="s">
        <v>107</v>
      </c>
      <c r="C91" s="122" t="s">
        <v>96</v>
      </c>
      <c r="D91" s="33"/>
      <c r="E91" s="34"/>
      <c r="F91" s="34"/>
      <c r="G91" s="35"/>
      <c r="H91" s="35"/>
      <c r="I91" s="79"/>
      <c r="J91" s="79"/>
      <c r="K91" s="143">
        <f t="shared" si="15"/>
        <v>0</v>
      </c>
      <c r="L91" s="129" t="e">
        <f t="shared" si="16"/>
        <v>#DIV/0!</v>
      </c>
    </row>
    <row r="92" spans="1:12" ht="132" hidden="1" customHeight="1">
      <c r="A92" s="1394"/>
      <c r="B92" s="121"/>
      <c r="C92" s="122" t="s">
        <v>94</v>
      </c>
      <c r="D92" s="122"/>
      <c r="E92" s="14"/>
      <c r="F92" s="14"/>
      <c r="G92" s="15"/>
      <c r="H92" s="15"/>
      <c r="I92" s="69"/>
      <c r="J92" s="69"/>
      <c r="K92" s="143">
        <f t="shared" si="15"/>
        <v>0</v>
      </c>
      <c r="L92" s="129" t="e">
        <f t="shared" si="16"/>
        <v>#DIV/0!</v>
      </c>
    </row>
    <row r="93" spans="1:12" ht="12.75" hidden="1" customHeight="1">
      <c r="A93" s="1394"/>
      <c r="B93" s="123"/>
      <c r="C93" s="122"/>
      <c r="D93" s="122"/>
      <c r="E93" s="14"/>
      <c r="F93" s="14"/>
      <c r="G93" s="15"/>
      <c r="H93" s="15"/>
      <c r="I93" s="80"/>
      <c r="J93" s="80"/>
      <c r="K93" s="143">
        <f t="shared" si="15"/>
        <v>0</v>
      </c>
      <c r="L93" s="133"/>
    </row>
    <row r="94" spans="1:12" ht="12.75" hidden="1" customHeight="1">
      <c r="A94" s="1394"/>
      <c r="B94" s="123"/>
      <c r="C94" s="122"/>
      <c r="D94" s="122"/>
      <c r="E94" s="14"/>
      <c r="F94" s="14"/>
      <c r="G94" s="15"/>
      <c r="H94" s="15"/>
      <c r="I94" s="80"/>
      <c r="J94" s="80"/>
      <c r="K94" s="143">
        <f t="shared" si="15"/>
        <v>0</v>
      </c>
      <c r="L94" s="133"/>
    </row>
    <row r="95" spans="1:12" ht="12" hidden="1" customHeight="1">
      <c r="A95" s="1394"/>
      <c r="B95" s="121"/>
      <c r="C95" s="122"/>
      <c r="D95" s="122"/>
      <c r="E95" s="14"/>
      <c r="F95" s="14"/>
      <c r="G95" s="15"/>
      <c r="H95" s="15"/>
      <c r="I95" s="80"/>
      <c r="J95" s="80"/>
      <c r="K95" s="143">
        <f t="shared" si="15"/>
        <v>0</v>
      </c>
      <c r="L95" s="133"/>
    </row>
    <row r="96" spans="1:12" ht="12" hidden="1" customHeight="1">
      <c r="A96" s="1394"/>
      <c r="B96" s="121"/>
      <c r="C96" s="122"/>
      <c r="D96" s="122"/>
      <c r="E96" s="14"/>
      <c r="F96" s="14"/>
      <c r="G96" s="15"/>
      <c r="H96" s="15"/>
      <c r="I96" s="80"/>
      <c r="J96" s="80"/>
      <c r="K96" s="143">
        <f t="shared" si="15"/>
        <v>0</v>
      </c>
      <c r="L96" s="133"/>
    </row>
    <row r="97" spans="1:23" ht="12" hidden="1" customHeight="1">
      <c r="A97" s="1394"/>
      <c r="B97" s="18"/>
      <c r="C97" s="19"/>
      <c r="D97" s="19"/>
      <c r="E97" s="20"/>
      <c r="F97" s="20"/>
      <c r="G97" s="21"/>
      <c r="H97" s="21"/>
      <c r="I97" s="81"/>
      <c r="J97" s="81"/>
      <c r="K97" s="143">
        <f t="shared" si="15"/>
        <v>0</v>
      </c>
      <c r="L97" s="134"/>
    </row>
    <row r="98" spans="1:23" ht="12" hidden="1" customHeight="1">
      <c r="A98" s="1394"/>
      <c r="B98" s="121"/>
      <c r="C98" s="122"/>
      <c r="D98" s="122"/>
      <c r="E98" s="14"/>
      <c r="F98" s="14"/>
      <c r="G98" s="15"/>
      <c r="H98" s="15"/>
      <c r="I98" s="80"/>
      <c r="J98" s="80"/>
      <c r="K98" s="143">
        <f t="shared" si="15"/>
        <v>0</v>
      </c>
      <c r="L98" s="133"/>
    </row>
    <row r="99" spans="1:23" ht="12" hidden="1" customHeight="1">
      <c r="A99" s="1394"/>
      <c r="B99" s="121"/>
      <c r="C99" s="122"/>
      <c r="D99" s="122"/>
      <c r="E99" s="14"/>
      <c r="F99" s="14"/>
      <c r="G99" s="15"/>
      <c r="H99" s="15"/>
      <c r="I99" s="80"/>
      <c r="J99" s="80"/>
      <c r="K99" s="143">
        <f t="shared" si="15"/>
        <v>0</v>
      </c>
      <c r="L99" s="133"/>
    </row>
    <row r="100" spans="1:23" ht="12" hidden="1" customHeight="1">
      <c r="A100" s="1394"/>
      <c r="B100" s="121"/>
      <c r="C100" s="122"/>
      <c r="D100" s="122"/>
      <c r="E100" s="14"/>
      <c r="F100" s="14"/>
      <c r="G100" s="15"/>
      <c r="H100" s="15"/>
      <c r="I100" s="80"/>
      <c r="J100" s="80"/>
      <c r="K100" s="143">
        <f t="shared" si="15"/>
        <v>0</v>
      </c>
      <c r="L100" s="133"/>
    </row>
    <row r="101" spans="1:23" ht="12.75" hidden="1" customHeight="1" thickBot="1">
      <c r="A101" s="1394"/>
      <c r="B101" s="18"/>
      <c r="C101" s="19"/>
      <c r="D101" s="19"/>
      <c r="E101" s="20"/>
      <c r="F101" s="20"/>
      <c r="G101" s="21"/>
      <c r="H101" s="21"/>
      <c r="I101" s="81"/>
      <c r="J101" s="81"/>
      <c r="K101" s="143">
        <f t="shared" si="15"/>
        <v>0</v>
      </c>
      <c r="L101" s="134"/>
    </row>
    <row r="102" spans="1:23" ht="12.75" thickBot="1">
      <c r="A102" s="1394"/>
      <c r="B102" s="30" t="s">
        <v>68</v>
      </c>
      <c r="C102" s="24"/>
      <c r="D102" s="32">
        <f t="shared" ref="D102:K102" si="17">SUM(D78:D101)</f>
        <v>0.62</v>
      </c>
      <c r="E102" s="31">
        <f t="shared" si="17"/>
        <v>3016</v>
      </c>
      <c r="F102" s="32">
        <f t="shared" si="17"/>
        <v>1869.92</v>
      </c>
      <c r="G102" s="32">
        <f t="shared" si="17"/>
        <v>224.39</v>
      </c>
      <c r="H102" s="32">
        <f t="shared" si="17"/>
        <v>467.48</v>
      </c>
      <c r="I102" s="31">
        <f t="shared" si="17"/>
        <v>1537.0739999999998</v>
      </c>
      <c r="J102" s="32">
        <f>SUM(J78:J101)</f>
        <v>4098.8639999999996</v>
      </c>
      <c r="K102" s="151">
        <f t="shared" si="17"/>
        <v>49186.367999999995</v>
      </c>
      <c r="L102" s="41"/>
    </row>
    <row r="103" spans="1:23" ht="33" hidden="1" customHeight="1">
      <c r="A103" s="1395"/>
      <c r="B103" s="182" t="s">
        <v>56</v>
      </c>
      <c r="C103" s="331"/>
      <c r="D103" s="183"/>
      <c r="E103" s="184"/>
      <c r="F103" s="184"/>
      <c r="G103" s="184"/>
      <c r="H103" s="184"/>
      <c r="I103" s="184"/>
      <c r="J103" s="184"/>
      <c r="K103" s="87">
        <f t="shared" ref="K103" si="18">J103*12</f>
        <v>0</v>
      </c>
      <c r="L103" s="128"/>
    </row>
    <row r="104" spans="1:23" ht="58.5" customHeight="1" thickBot="1">
      <c r="A104" s="1396"/>
      <c r="B104" s="185" t="s">
        <v>78</v>
      </c>
      <c r="C104" s="186"/>
      <c r="D104" s="187"/>
      <c r="E104" s="188"/>
      <c r="F104" s="188"/>
      <c r="G104" s="188"/>
      <c r="H104" s="188"/>
      <c r="I104" s="188"/>
      <c r="J104" s="188">
        <v>7934.1</v>
      </c>
      <c r="K104" s="87">
        <f>J104*12</f>
        <v>95209.200000000012</v>
      </c>
      <c r="L104" s="133"/>
    </row>
    <row r="105" spans="1:23" ht="23.25" customHeight="1" thickBot="1">
      <c r="A105" s="23"/>
      <c r="B105" s="312"/>
      <c r="C105" s="161"/>
      <c r="D105" s="313">
        <f t="shared" ref="D105:K105" si="19">D102+D103+D104</f>
        <v>0.62</v>
      </c>
      <c r="E105" s="313">
        <f t="shared" si="19"/>
        <v>3016</v>
      </c>
      <c r="F105" s="313">
        <f t="shared" si="19"/>
        <v>1869.92</v>
      </c>
      <c r="G105" s="313">
        <f t="shared" si="19"/>
        <v>224.39</v>
      </c>
      <c r="H105" s="313">
        <f t="shared" si="19"/>
        <v>467.48</v>
      </c>
      <c r="I105" s="313">
        <f t="shared" si="19"/>
        <v>1537.0739999999998</v>
      </c>
      <c r="J105" s="313">
        <f t="shared" si="19"/>
        <v>12032.964</v>
      </c>
      <c r="K105" s="311">
        <f t="shared" si="19"/>
        <v>144395.568</v>
      </c>
      <c r="L105" s="133"/>
    </row>
    <row r="106" spans="1:23" ht="24.75" customHeight="1" thickBot="1">
      <c r="A106" s="152"/>
      <c r="B106" s="153" t="s">
        <v>115</v>
      </c>
      <c r="C106" s="154"/>
      <c r="D106" s="155">
        <f>D24+D35+D105</f>
        <v>13.459999999999999</v>
      </c>
      <c r="E106" s="155">
        <f t="shared" ref="E106:K106" si="20">E24+E35+E105</f>
        <v>34265</v>
      </c>
      <c r="F106" s="155">
        <f t="shared" si="20"/>
        <v>115096.62</v>
      </c>
      <c r="G106" s="155">
        <f t="shared" si="20"/>
        <v>22597.41</v>
      </c>
      <c r="H106" s="155">
        <f t="shared" si="20"/>
        <v>14250.189999999999</v>
      </c>
      <c r="I106" s="155">
        <f t="shared" si="20"/>
        <v>91166.531999999992</v>
      </c>
      <c r="J106" s="155">
        <f>J24+J35+J105</f>
        <v>281278.23199999996</v>
      </c>
      <c r="K106" s="156">
        <f t="shared" si="20"/>
        <v>3248660</v>
      </c>
      <c r="L106" s="133"/>
      <c r="S106" s="77">
        <f>J106*7</f>
        <v>1968947.6239999998</v>
      </c>
    </row>
    <row r="107" spans="1:23">
      <c r="N107" s="3">
        <f>J106*12</f>
        <v>3375338.7839999995</v>
      </c>
      <c r="W107" s="42">
        <f>K18</f>
        <v>338428.80000000005</v>
      </c>
    </row>
    <row r="108" spans="1:23" ht="38.25" customHeight="1">
      <c r="E108" s="3" t="s">
        <v>200</v>
      </c>
    </row>
    <row r="109" spans="1:23" ht="23.25" customHeight="1" thickBot="1"/>
    <row r="110" spans="1:23" ht="12" customHeight="1">
      <c r="A110" s="1365" t="s">
        <v>17</v>
      </c>
      <c r="B110" s="1367" t="s">
        <v>18</v>
      </c>
      <c r="C110" s="1356" t="s">
        <v>19</v>
      </c>
      <c r="D110" s="1356" t="s">
        <v>20</v>
      </c>
      <c r="E110" s="1356" t="s">
        <v>21</v>
      </c>
      <c r="F110" s="1356" t="s">
        <v>5</v>
      </c>
      <c r="G110" s="1356" t="s">
        <v>6</v>
      </c>
      <c r="H110" s="1356"/>
      <c r="I110" s="1356" t="s">
        <v>7</v>
      </c>
      <c r="J110" s="1356" t="s">
        <v>22</v>
      </c>
      <c r="K110" s="1358" t="s">
        <v>198</v>
      </c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5"/>
    </row>
    <row r="111" spans="1:23" ht="31.5" customHeight="1" thickBot="1">
      <c r="A111" s="1366"/>
      <c r="B111" s="1368"/>
      <c r="C111" s="1357"/>
      <c r="D111" s="1357"/>
      <c r="E111" s="1357"/>
      <c r="F111" s="1357"/>
      <c r="G111" s="328" t="s">
        <v>24</v>
      </c>
      <c r="H111" s="328" t="s">
        <v>25</v>
      </c>
      <c r="I111" s="1357"/>
      <c r="J111" s="1357"/>
      <c r="K111" s="1359"/>
    </row>
    <row r="112" spans="1:23" ht="15" customHeight="1">
      <c r="A112" s="148"/>
      <c r="B112" s="1360"/>
      <c r="C112" s="1361"/>
      <c r="D112" s="1361"/>
      <c r="E112" s="1361"/>
      <c r="F112" s="1361"/>
      <c r="G112" s="1361"/>
      <c r="H112" s="1361"/>
      <c r="I112" s="1361"/>
      <c r="J112" s="1361"/>
      <c r="K112" s="1362"/>
    </row>
    <row r="113" spans="1:12" s="84" customFormat="1" ht="34.5" customHeight="1" thickBot="1">
      <c r="A113" s="1363" t="s">
        <v>59</v>
      </c>
      <c r="B113" s="114" t="s">
        <v>201</v>
      </c>
      <c r="C113" s="124"/>
      <c r="D113" s="115">
        <v>1</v>
      </c>
      <c r="E113" s="348">
        <v>9718</v>
      </c>
      <c r="F113" s="117">
        <f>D113*E113</f>
        <v>9718</v>
      </c>
      <c r="G113" s="348">
        <f>F113*25%</f>
        <v>2429.5</v>
      </c>
      <c r="H113" s="348"/>
      <c r="I113" s="36">
        <f>(F113+G113+H113)*60%</f>
        <v>7288.5</v>
      </c>
      <c r="J113" s="36">
        <f>F113+G113+H113+I113</f>
        <v>19436</v>
      </c>
      <c r="K113" s="87">
        <f>J113*12</f>
        <v>233232</v>
      </c>
      <c r="L113" s="83">
        <f>L76</f>
        <v>0</v>
      </c>
    </row>
    <row r="114" spans="1:12" ht="15" customHeight="1" thickBot="1">
      <c r="A114" s="1364"/>
      <c r="B114" s="23"/>
      <c r="C114" s="24"/>
      <c r="D114" s="25">
        <f>SUM(D113:D113)</f>
        <v>1</v>
      </c>
      <c r="E114" s="26">
        <f>SUM(E113:E113)</f>
        <v>9718</v>
      </c>
      <c r="F114" s="26">
        <f>SUM(F113:F113)</f>
        <v>9718</v>
      </c>
      <c r="G114" s="26">
        <f>SUM(G113:G113)</f>
        <v>2429.5</v>
      </c>
      <c r="H114" s="26"/>
      <c r="I114" s="26">
        <f>SUM(I113:I113)</f>
        <v>7288.5</v>
      </c>
      <c r="J114" s="26">
        <f>SUM(J113:J113)</f>
        <v>19436</v>
      </c>
      <c r="K114" s="144">
        <f>SUM(K113:K113)</f>
        <v>233232</v>
      </c>
    </row>
    <row r="115" spans="1:12" ht="12" customHeight="1" thickBot="1">
      <c r="A115" s="1364"/>
      <c r="B115" s="159" t="s">
        <v>56</v>
      </c>
      <c r="C115" s="126"/>
      <c r="D115" s="126"/>
      <c r="E115" s="28"/>
      <c r="F115" s="28"/>
      <c r="G115" s="29"/>
      <c r="H115" s="29"/>
      <c r="I115" s="29"/>
      <c r="J115" s="86">
        <f>J114*25%</f>
        <v>4859</v>
      </c>
      <c r="K115" s="87">
        <f>J115*12</f>
        <v>58308</v>
      </c>
    </row>
    <row r="116" spans="1:12" ht="12" customHeight="1" thickBot="1">
      <c r="A116" s="1364"/>
      <c r="B116" s="30" t="s">
        <v>64</v>
      </c>
      <c r="C116" s="24"/>
      <c r="D116" s="31">
        <f t="shared" ref="D116:I116" si="21">D114+D115</f>
        <v>1</v>
      </c>
      <c r="E116" s="32">
        <f t="shared" si="21"/>
        <v>9718</v>
      </c>
      <c r="F116" s="32">
        <f t="shared" si="21"/>
        <v>9718</v>
      </c>
      <c r="G116" s="32">
        <f t="shared" si="21"/>
        <v>2429.5</v>
      </c>
      <c r="H116" s="32">
        <f t="shared" si="21"/>
        <v>0</v>
      </c>
      <c r="I116" s="32">
        <f t="shared" si="21"/>
        <v>7288.5</v>
      </c>
      <c r="J116" s="32">
        <f>J114+J115</f>
        <v>24295</v>
      </c>
      <c r="K116" s="32">
        <f>K114+K115</f>
        <v>291540</v>
      </c>
    </row>
    <row r="117" spans="1:12" ht="12" customHeight="1"/>
    <row r="118" spans="1:12">
      <c r="A118" s="3" t="s">
        <v>117</v>
      </c>
      <c r="D118" s="3" t="s">
        <v>202</v>
      </c>
    </row>
    <row r="120" spans="1:12">
      <c r="A120" s="3" t="s">
        <v>104</v>
      </c>
      <c r="D120" s="3" t="s">
        <v>189</v>
      </c>
      <c r="I120" s="1"/>
      <c r="K120" s="77">
        <f>K106+K116</f>
        <v>3540200</v>
      </c>
    </row>
    <row r="121" spans="1:12">
      <c r="J121" s="42"/>
    </row>
    <row r="122" spans="1:12">
      <c r="A122" s="3" t="s">
        <v>206</v>
      </c>
    </row>
    <row r="123" spans="1:12">
      <c r="K123" s="77">
        <v>3540200</v>
      </c>
    </row>
    <row r="124" spans="1:12">
      <c r="K124" s="77"/>
    </row>
    <row r="126" spans="1:12">
      <c r="K126" s="42"/>
    </row>
  </sheetData>
  <mergeCells count="45">
    <mergeCell ref="A55:A63"/>
    <mergeCell ref="A76:B76"/>
    <mergeCell ref="C77:K77"/>
    <mergeCell ref="A78:A104"/>
    <mergeCell ref="C78:C87"/>
    <mergeCell ref="A52:A54"/>
    <mergeCell ref="G15:H15"/>
    <mergeCell ref="I15:I16"/>
    <mergeCell ref="J15:J16"/>
    <mergeCell ref="K15:K16"/>
    <mergeCell ref="A15:A16"/>
    <mergeCell ref="A18:A24"/>
    <mergeCell ref="A25:A35"/>
    <mergeCell ref="A36:A45"/>
    <mergeCell ref="C36:C39"/>
    <mergeCell ref="A51:K51"/>
    <mergeCell ref="L15:L16"/>
    <mergeCell ref="B17:K17"/>
    <mergeCell ref="E8:F8"/>
    <mergeCell ref="G8:H8"/>
    <mergeCell ref="E9:F9"/>
    <mergeCell ref="G9:H9"/>
    <mergeCell ref="B15:B16"/>
    <mergeCell ref="C15:C16"/>
    <mergeCell ref="D15:D16"/>
    <mergeCell ref="E15:E16"/>
    <mergeCell ref="F15:F16"/>
    <mergeCell ref="C6:L6"/>
    <mergeCell ref="I1:K1"/>
    <mergeCell ref="BP1:CG1"/>
    <mergeCell ref="BR3:CG3"/>
    <mergeCell ref="BR4:CG4"/>
    <mergeCell ref="A5:L5"/>
    <mergeCell ref="I110:I111"/>
    <mergeCell ref="J110:J111"/>
    <mergeCell ref="K110:K111"/>
    <mergeCell ref="B112:K112"/>
    <mergeCell ref="A113:A116"/>
    <mergeCell ref="A110:A111"/>
    <mergeCell ref="B110:B111"/>
    <mergeCell ref="C110:C111"/>
    <mergeCell ref="D110:D111"/>
    <mergeCell ref="E110:E111"/>
    <mergeCell ref="F110:F111"/>
    <mergeCell ref="G110:H110"/>
  </mergeCells>
  <pageMargins left="0.55118110236220474" right="0.19" top="0.39370078740157483" bottom="0.15748031496062992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FF"/>
  </sheetPr>
  <dimension ref="A1:BU58"/>
  <sheetViews>
    <sheetView zoomScale="95" zoomScaleNormal="95" workbookViewId="0">
      <selection activeCell="O27" sqref="O27"/>
    </sheetView>
  </sheetViews>
  <sheetFormatPr defaultRowHeight="12"/>
  <cols>
    <col min="1" max="1" width="12.140625" style="1" customWidth="1"/>
    <col min="2" max="2" width="18.42578125" style="1" customWidth="1"/>
    <col min="3" max="3" width="6.42578125" style="1" hidden="1" customWidth="1"/>
    <col min="4" max="4" width="8.140625" style="1" customWidth="1"/>
    <col min="5" max="5" width="11.5703125" style="1" customWidth="1"/>
    <col min="6" max="7" width="11" style="1" customWidth="1"/>
    <col min="8" max="8" width="11.140625" style="1" customWidth="1"/>
    <col min="9" max="10" width="13.28515625" style="1" customWidth="1"/>
    <col min="11" max="11" width="13.85546875" style="1" customWidth="1"/>
    <col min="12" max="12" width="17.5703125" style="1" hidden="1" customWidth="1"/>
    <col min="13" max="13" width="9.28515625" style="1" customWidth="1"/>
    <col min="14" max="26" width="9.140625" style="1" customWidth="1"/>
    <col min="27" max="27" width="6.85546875" style="1" customWidth="1"/>
    <col min="28" max="28" width="4" style="1" customWidth="1"/>
    <col min="29" max="38" width="9.140625" style="1" customWidth="1"/>
    <col min="39" max="39" width="7.28515625" style="1" customWidth="1"/>
    <col min="40" max="40" width="9.140625" style="1" customWidth="1"/>
    <col min="41" max="41" width="9.140625" style="1"/>
    <col min="42" max="42" width="12" style="1" customWidth="1"/>
    <col min="43" max="43" width="9.140625" style="1"/>
    <col min="44" max="52" width="9.140625" style="1" customWidth="1"/>
    <col min="53" max="53" width="11.5703125" style="1" customWidth="1"/>
    <col min="54" max="54" width="9.140625" style="1"/>
    <col min="55" max="55" width="11.7109375" style="1" customWidth="1"/>
    <col min="56" max="56" width="2.5703125" style="1" customWidth="1"/>
    <col min="57" max="57" width="13" style="1" customWidth="1"/>
    <col min="58" max="58" width="12.42578125" style="1" customWidth="1"/>
    <col min="59" max="59" width="5.140625" style="1" customWidth="1"/>
    <col min="60" max="73" width="9.140625" style="1" customWidth="1"/>
    <col min="74" max="16384" width="9.140625" style="1"/>
  </cols>
  <sheetData>
    <row r="1" spans="1:73" ht="57" customHeight="1">
      <c r="A1" s="293"/>
      <c r="B1" s="293"/>
      <c r="C1" s="293"/>
      <c r="D1" s="293"/>
      <c r="E1" s="293"/>
      <c r="F1" s="293"/>
      <c r="G1" s="293"/>
      <c r="H1" s="293"/>
      <c r="I1" s="1284" t="s">
        <v>0</v>
      </c>
      <c r="J1" s="1285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1288"/>
      <c r="BE1" s="1288"/>
      <c r="BF1" s="1288"/>
      <c r="BG1" s="1288"/>
      <c r="BH1" s="1288"/>
      <c r="BI1" s="1288"/>
      <c r="BJ1" s="1288"/>
      <c r="BK1" s="1288"/>
      <c r="BL1" s="1288"/>
      <c r="BM1" s="1288"/>
      <c r="BN1" s="1288"/>
      <c r="BO1" s="1288"/>
      <c r="BP1" s="1288"/>
      <c r="BQ1" s="1288"/>
      <c r="BR1" s="1288"/>
      <c r="BS1" s="1288"/>
      <c r="BT1" s="1288"/>
      <c r="BU1" s="1288"/>
    </row>
    <row r="2" spans="1:73">
      <c r="F2" s="293" t="s">
        <v>2</v>
      </c>
      <c r="G2" s="293"/>
      <c r="H2" s="294" t="s">
        <v>1</v>
      </c>
    </row>
    <row r="3" spans="1:73">
      <c r="A3" s="293"/>
      <c r="B3" s="293"/>
      <c r="C3" s="293"/>
      <c r="D3" s="293"/>
      <c r="E3" s="293"/>
      <c r="F3" s="293" t="s">
        <v>4</v>
      </c>
      <c r="G3" s="293"/>
      <c r="H3" s="294" t="s">
        <v>3</v>
      </c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1289"/>
      <c r="BG3" s="1289"/>
      <c r="BH3" s="1289"/>
      <c r="BI3" s="1289"/>
      <c r="BJ3" s="1289"/>
      <c r="BK3" s="1289"/>
      <c r="BL3" s="1289"/>
      <c r="BM3" s="1289"/>
      <c r="BN3" s="1289"/>
      <c r="BO3" s="1289"/>
      <c r="BP3" s="1289"/>
      <c r="BQ3" s="1289"/>
      <c r="BR3" s="1289"/>
      <c r="BS3" s="1289"/>
      <c r="BT3" s="1289"/>
      <c r="BU3" s="1289"/>
    </row>
    <row r="4" spans="1:73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1289"/>
      <c r="BG4" s="1289"/>
      <c r="BH4" s="1289"/>
      <c r="BI4" s="1289"/>
      <c r="BJ4" s="1289"/>
      <c r="BK4" s="1289"/>
      <c r="BL4" s="1289"/>
      <c r="BM4" s="1289"/>
      <c r="BN4" s="1289"/>
      <c r="BO4" s="1289"/>
      <c r="BP4" s="1289"/>
      <c r="BQ4" s="1289"/>
      <c r="BR4" s="1289"/>
      <c r="BS4" s="1289"/>
      <c r="BT4" s="1289"/>
      <c r="BU4" s="1289"/>
    </row>
    <row r="5" spans="1:73" ht="19.5" customHeight="1">
      <c r="A5" s="1401"/>
      <c r="B5" s="1402"/>
      <c r="C5" s="1402"/>
      <c r="D5" s="1402"/>
      <c r="E5" s="1402"/>
      <c r="F5" s="1402"/>
      <c r="G5" s="1402"/>
      <c r="H5" s="1402"/>
      <c r="I5" s="1402"/>
      <c r="J5" s="1402"/>
      <c r="K5" s="1402"/>
    </row>
    <row r="6" spans="1:73">
      <c r="A6" s="356"/>
      <c r="B6" s="357"/>
      <c r="C6" s="1400" t="s">
        <v>137</v>
      </c>
      <c r="D6" s="1400"/>
      <c r="E6" s="1400"/>
      <c r="F6" s="1400"/>
      <c r="G6" s="1400"/>
      <c r="H6" s="1400"/>
      <c r="I6" s="1400"/>
      <c r="J6" s="1400"/>
      <c r="K6" s="1400"/>
    </row>
    <row r="7" spans="1:73">
      <c r="A7" s="189"/>
      <c r="B7" s="189"/>
      <c r="C7" s="190"/>
      <c r="D7" s="190"/>
      <c r="E7" s="190"/>
      <c r="F7" s="190"/>
      <c r="G7" s="190"/>
      <c r="H7" s="190"/>
      <c r="I7" s="189"/>
      <c r="J7" s="189"/>
    </row>
    <row r="8" spans="1:73" ht="29.25" customHeight="1">
      <c r="A8" s="189"/>
      <c r="B8" s="189"/>
      <c r="C8" s="190"/>
      <c r="D8" s="190"/>
      <c r="E8" s="1283" t="s">
        <v>9</v>
      </c>
      <c r="F8" s="1283"/>
      <c r="G8" s="1283" t="s">
        <v>10</v>
      </c>
      <c r="H8" s="1283"/>
      <c r="I8" s="189"/>
      <c r="J8" s="189"/>
    </row>
    <row r="9" spans="1:73" ht="18" customHeight="1">
      <c r="B9" s="191" t="s">
        <v>11</v>
      </c>
      <c r="C9" s="190"/>
      <c r="D9" s="190"/>
      <c r="E9" s="1283">
        <v>1</v>
      </c>
      <c r="F9" s="1283"/>
      <c r="G9" s="1292"/>
      <c r="H9" s="1283"/>
      <c r="I9" s="189" t="s">
        <v>12</v>
      </c>
      <c r="J9" s="189"/>
    </row>
    <row r="10" spans="1:73">
      <c r="A10" s="189"/>
      <c r="B10" s="189"/>
      <c r="C10" s="190"/>
      <c r="D10" s="190"/>
      <c r="E10" s="190"/>
      <c r="F10" s="190"/>
      <c r="G10" s="190"/>
      <c r="H10" s="190"/>
      <c r="I10" s="190" t="s">
        <v>13</v>
      </c>
      <c r="J10" s="190"/>
    </row>
    <row r="11" spans="1:73">
      <c r="A11" s="190"/>
      <c r="B11" s="192" t="s">
        <v>195</v>
      </c>
      <c r="C11" s="192"/>
      <c r="D11" s="192"/>
      <c r="E11" s="192"/>
      <c r="F11" s="192"/>
      <c r="G11" s="192"/>
      <c r="H11" s="190"/>
      <c r="I11" s="190" t="s">
        <v>14</v>
      </c>
      <c r="J11" s="193"/>
    </row>
    <row r="12" spans="1:73">
      <c r="A12" s="190"/>
      <c r="B12" s="192"/>
      <c r="C12" s="192"/>
      <c r="D12" s="192"/>
      <c r="E12" s="192"/>
      <c r="F12" s="192"/>
      <c r="G12" s="192"/>
      <c r="H12" s="190"/>
      <c r="I12" s="190"/>
      <c r="J12" s="193">
        <f>D44</f>
        <v>8.5</v>
      </c>
    </row>
    <row r="13" spans="1:73">
      <c r="A13" s="190"/>
      <c r="B13" s="190"/>
      <c r="C13" s="190"/>
      <c r="D13" s="190"/>
      <c r="E13" s="189"/>
      <c r="F13" s="189"/>
      <c r="G13" s="189"/>
      <c r="H13" s="190"/>
      <c r="I13" s="190" t="s">
        <v>15</v>
      </c>
      <c r="J13" s="190"/>
    </row>
    <row r="14" spans="1:73">
      <c r="E14" s="198"/>
      <c r="F14" s="198"/>
      <c r="G14" s="198"/>
    </row>
    <row r="15" spans="1:73">
      <c r="A15" s="1283" t="s">
        <v>17</v>
      </c>
      <c r="B15" s="1283" t="s">
        <v>18</v>
      </c>
      <c r="C15" s="1283" t="s">
        <v>19</v>
      </c>
      <c r="D15" s="1283" t="s">
        <v>20</v>
      </c>
      <c r="E15" s="1283" t="s">
        <v>21</v>
      </c>
      <c r="F15" s="1283" t="s">
        <v>5</v>
      </c>
      <c r="G15" s="1283" t="s">
        <v>6</v>
      </c>
      <c r="H15" s="1283"/>
      <c r="I15" s="1283" t="s">
        <v>7</v>
      </c>
      <c r="J15" s="1283" t="s">
        <v>22</v>
      </c>
      <c r="K15" s="1290" t="s">
        <v>196</v>
      </c>
    </row>
    <row r="16" spans="1:73" ht="48" customHeight="1">
      <c r="A16" s="1283"/>
      <c r="B16" s="1283"/>
      <c r="C16" s="1283"/>
      <c r="D16" s="1283"/>
      <c r="E16" s="1283"/>
      <c r="F16" s="1283"/>
      <c r="G16" s="332" t="s">
        <v>24</v>
      </c>
      <c r="H16" s="332" t="s">
        <v>25</v>
      </c>
      <c r="I16" s="1283"/>
      <c r="J16" s="1283"/>
      <c r="K16" s="1291"/>
    </row>
    <row r="17" spans="1:14" ht="20.25" customHeight="1">
      <c r="A17" s="200"/>
      <c r="B17" s="1277"/>
      <c r="C17" s="1278"/>
      <c r="D17" s="1278"/>
      <c r="E17" s="1278"/>
      <c r="F17" s="1278"/>
      <c r="G17" s="1278"/>
      <c r="H17" s="1278"/>
      <c r="I17" s="1278"/>
      <c r="J17" s="1278"/>
      <c r="K17" s="201"/>
    </row>
    <row r="18" spans="1:14" ht="22.5" customHeight="1" thickBot="1">
      <c r="A18" s="1279" t="s">
        <v>59</v>
      </c>
      <c r="B18" s="337" t="s">
        <v>60</v>
      </c>
      <c r="C18" s="339"/>
      <c r="D18" s="279">
        <v>1</v>
      </c>
      <c r="E18" s="358">
        <v>13077</v>
      </c>
      <c r="F18" s="271">
        <f>D18*E18</f>
        <v>13077</v>
      </c>
      <c r="G18" s="358">
        <v>5884.65</v>
      </c>
      <c r="H18" s="358">
        <f>F18*5%</f>
        <v>653.85</v>
      </c>
      <c r="I18" s="204">
        <f>(F18+G18+H18)*60%</f>
        <v>11769.3</v>
      </c>
      <c r="J18" s="204">
        <f>F18+G18+H18+I18</f>
        <v>31384.799999999999</v>
      </c>
      <c r="K18" s="261">
        <f>J18*12</f>
        <v>376617.6</v>
      </c>
    </row>
    <row r="19" spans="1:14" ht="27" hidden="1" customHeight="1">
      <c r="A19" s="1280"/>
      <c r="B19" s="337" t="s">
        <v>61</v>
      </c>
      <c r="C19" s="339"/>
      <c r="D19" s="206"/>
      <c r="E19" s="202"/>
      <c r="F19" s="203"/>
      <c r="G19" s="203"/>
      <c r="H19" s="203"/>
      <c r="I19" s="207"/>
      <c r="J19" s="204">
        <f>F19+G19+H19+I19</f>
        <v>0</v>
      </c>
      <c r="K19" s="205"/>
    </row>
    <row r="20" spans="1:14" ht="16.5" hidden="1" customHeight="1">
      <c r="A20" s="1281"/>
      <c r="B20" s="337" t="s">
        <v>62</v>
      </c>
      <c r="C20" s="339"/>
      <c r="D20" s="339"/>
      <c r="E20" s="202"/>
      <c r="F20" s="203"/>
      <c r="G20" s="203"/>
      <c r="H20" s="203"/>
      <c r="I20" s="207"/>
      <c r="J20" s="204">
        <f>F20+G20+H20+I20</f>
        <v>0</v>
      </c>
      <c r="K20" s="205"/>
    </row>
    <row r="21" spans="1:14" ht="22.5" hidden="1" customHeight="1" thickBot="1">
      <c r="A21" s="1281"/>
      <c r="B21" s="338" t="s">
        <v>63</v>
      </c>
      <c r="C21" s="209"/>
      <c r="D21" s="209"/>
      <c r="E21" s="210"/>
      <c r="F21" s="211"/>
      <c r="G21" s="211"/>
      <c r="H21" s="211"/>
      <c r="I21" s="212"/>
      <c r="J21" s="212"/>
      <c r="K21" s="213"/>
    </row>
    <row r="22" spans="1:14" ht="20.25" customHeight="1" thickBot="1">
      <c r="A22" s="1281"/>
      <c r="B22" s="214"/>
      <c r="C22" s="215"/>
      <c r="D22" s="266">
        <f>SUM(D18:D21)</f>
        <v>1</v>
      </c>
      <c r="E22" s="216">
        <f t="shared" ref="E22:K22" si="0">SUM(E18:E21)</f>
        <v>13077</v>
      </c>
      <c r="F22" s="216">
        <f t="shared" si="0"/>
        <v>13077</v>
      </c>
      <c r="G22" s="216">
        <f t="shared" si="0"/>
        <v>5884.65</v>
      </c>
      <c r="H22" s="216">
        <f t="shared" si="0"/>
        <v>653.85</v>
      </c>
      <c r="I22" s="216">
        <f t="shared" si="0"/>
        <v>11769.3</v>
      </c>
      <c r="J22" s="216">
        <f t="shared" si="0"/>
        <v>31384.799999999999</v>
      </c>
      <c r="K22" s="216">
        <f t="shared" si="0"/>
        <v>376617.6</v>
      </c>
    </row>
    <row r="23" spans="1:14" ht="27" customHeight="1" thickBot="1">
      <c r="A23" s="1280"/>
      <c r="B23" s="335" t="s">
        <v>56</v>
      </c>
      <c r="C23" s="334"/>
      <c r="D23" s="334"/>
      <c r="E23" s="218"/>
      <c r="F23" s="218"/>
      <c r="G23" s="219"/>
      <c r="H23" s="219"/>
      <c r="I23" s="219"/>
      <c r="J23" s="219">
        <f>J22*25%</f>
        <v>7846.2</v>
      </c>
      <c r="K23" s="261">
        <f>J23*12</f>
        <v>94154.4</v>
      </c>
    </row>
    <row r="24" spans="1:14" ht="18.75" customHeight="1" thickBot="1">
      <c r="A24" s="1281"/>
      <c r="B24" s="220" t="s">
        <v>64</v>
      </c>
      <c r="C24" s="215"/>
      <c r="D24" s="221">
        <f t="shared" ref="D24:K24" si="1">D22+D23</f>
        <v>1</v>
      </c>
      <c r="E24" s="222">
        <f t="shared" si="1"/>
        <v>13077</v>
      </c>
      <c r="F24" s="222">
        <f t="shared" si="1"/>
        <v>13077</v>
      </c>
      <c r="G24" s="222">
        <f t="shared" si="1"/>
        <v>5884.65</v>
      </c>
      <c r="H24" s="222">
        <f t="shared" si="1"/>
        <v>653.85</v>
      </c>
      <c r="I24" s="222">
        <f t="shared" si="1"/>
        <v>11769.3</v>
      </c>
      <c r="J24" s="222">
        <f>J22+J23</f>
        <v>39231</v>
      </c>
      <c r="K24" s="222">
        <f t="shared" si="1"/>
        <v>470772</v>
      </c>
    </row>
    <row r="25" spans="1:14" ht="25.5" customHeight="1">
      <c r="A25" s="1403" t="s">
        <v>32</v>
      </c>
      <c r="B25" s="337" t="s">
        <v>138</v>
      </c>
      <c r="C25" s="339" t="s">
        <v>36</v>
      </c>
      <c r="D25" s="206">
        <v>0.5</v>
      </c>
      <c r="E25" s="272">
        <v>8234</v>
      </c>
      <c r="F25" s="272">
        <f>D25*E25</f>
        <v>4117</v>
      </c>
      <c r="G25" s="272">
        <v>1852.65</v>
      </c>
      <c r="H25" s="272">
        <v>617.54999999999995</v>
      </c>
      <c r="I25" s="272">
        <f>(F25+G25+H25)*60%</f>
        <v>3952.3199999999997</v>
      </c>
      <c r="J25" s="272">
        <f>F25+G25+H25+I25</f>
        <v>10539.52</v>
      </c>
      <c r="K25" s="261">
        <f t="shared" ref="K25:K29" si="2">J25*12</f>
        <v>126474.24000000001</v>
      </c>
    </row>
    <row r="26" spans="1:14" ht="25.5" customHeight="1">
      <c r="A26" s="1404"/>
      <c r="B26" s="359" t="s">
        <v>35</v>
      </c>
      <c r="C26" s="339"/>
      <c r="D26" s="206">
        <v>1.5</v>
      </c>
      <c r="E26" s="272">
        <v>7521</v>
      </c>
      <c r="F26" s="272">
        <f t="shared" ref="F26:F29" si="3">D26*E26</f>
        <v>11281.5</v>
      </c>
      <c r="G26" s="272">
        <v>5076.68</v>
      </c>
      <c r="H26" s="272">
        <v>1692.23</v>
      </c>
      <c r="I26" s="272">
        <f>(F26+G26+H26)*60%</f>
        <v>10830.245999999999</v>
      </c>
      <c r="J26" s="272">
        <f>F26+G26+H26+I26</f>
        <v>28880.655999999999</v>
      </c>
      <c r="K26" s="261">
        <f t="shared" si="2"/>
        <v>346567.87199999997</v>
      </c>
    </row>
    <row r="27" spans="1:14" ht="21.75" customHeight="1">
      <c r="A27" s="1404"/>
      <c r="B27" s="359" t="s">
        <v>40</v>
      </c>
      <c r="C27" s="339" t="s">
        <v>36</v>
      </c>
      <c r="D27" s="236">
        <v>1.5</v>
      </c>
      <c r="E27" s="290">
        <v>8234</v>
      </c>
      <c r="F27" s="272">
        <f t="shared" si="3"/>
        <v>12351</v>
      </c>
      <c r="G27" s="272">
        <v>5557.95</v>
      </c>
      <c r="H27" s="272">
        <v>1852.65</v>
      </c>
      <c r="I27" s="272">
        <f>(F27+G27+H27)*60%</f>
        <v>11856.960000000001</v>
      </c>
      <c r="J27" s="272">
        <f>F27+G27+H27+I27</f>
        <v>31618.560000000005</v>
      </c>
      <c r="K27" s="261">
        <f t="shared" si="2"/>
        <v>379422.72000000009</v>
      </c>
    </row>
    <row r="28" spans="1:14" ht="24.75" customHeight="1">
      <c r="A28" s="1404"/>
      <c r="B28" s="359" t="s">
        <v>33</v>
      </c>
      <c r="C28" s="209"/>
      <c r="D28" s="236">
        <v>1</v>
      </c>
      <c r="E28" s="290">
        <v>6866</v>
      </c>
      <c r="F28" s="272">
        <f t="shared" si="3"/>
        <v>6866</v>
      </c>
      <c r="G28" s="272">
        <v>3089.7</v>
      </c>
      <c r="H28" s="272">
        <v>343.3</v>
      </c>
      <c r="I28" s="272">
        <f>(F28+G28+H28)*60%</f>
        <v>6179.4</v>
      </c>
      <c r="J28" s="272">
        <f>F28+G28+H28+I28</f>
        <v>16478.400000000001</v>
      </c>
      <c r="K28" s="261">
        <f t="shared" si="2"/>
        <v>197740.80000000002</v>
      </c>
    </row>
    <row r="29" spans="1:14" ht="48" customHeight="1" thickBot="1">
      <c r="A29" s="1404"/>
      <c r="B29" s="359" t="s">
        <v>43</v>
      </c>
      <c r="C29" s="223"/>
      <c r="D29" s="280">
        <v>1</v>
      </c>
      <c r="E29" s="281">
        <v>6866</v>
      </c>
      <c r="F29" s="272">
        <f t="shared" si="3"/>
        <v>6866</v>
      </c>
      <c r="G29" s="272">
        <v>3089.7</v>
      </c>
      <c r="H29" s="272">
        <v>1716.5</v>
      </c>
      <c r="I29" s="272">
        <f>(F29+G29+H29)*60%</f>
        <v>7003.3200000000006</v>
      </c>
      <c r="J29" s="272">
        <f>F29+G29+H29+I29</f>
        <v>18675.52</v>
      </c>
      <c r="K29" s="261">
        <f t="shared" si="2"/>
        <v>224106.23999999999</v>
      </c>
    </row>
    <row r="30" spans="1:14" ht="23.25" customHeight="1" thickBot="1">
      <c r="A30" s="1404"/>
      <c r="B30" s="224" t="s">
        <v>67</v>
      </c>
      <c r="C30" s="225"/>
      <c r="D30" s="222">
        <f t="shared" ref="D30:K30" si="4">SUM(D25:D29)</f>
        <v>5.5</v>
      </c>
      <c r="E30" s="222">
        <f t="shared" si="4"/>
        <v>37721</v>
      </c>
      <c r="F30" s="222">
        <f t="shared" si="4"/>
        <v>41481.5</v>
      </c>
      <c r="G30" s="222">
        <f t="shared" si="4"/>
        <v>18666.68</v>
      </c>
      <c r="H30" s="222">
        <f t="shared" si="4"/>
        <v>6222.2300000000005</v>
      </c>
      <c r="I30" s="222">
        <f t="shared" si="4"/>
        <v>39822.245999999999</v>
      </c>
      <c r="J30" s="222">
        <f>SUM(J25:J29)</f>
        <v>106192.656</v>
      </c>
      <c r="K30" s="222">
        <f t="shared" si="4"/>
        <v>1274311.872</v>
      </c>
    </row>
    <row r="31" spans="1:14" ht="24" customHeight="1" thickBot="1">
      <c r="A31" s="1404"/>
      <c r="B31" s="335" t="s">
        <v>56</v>
      </c>
      <c r="C31" s="334"/>
      <c r="D31" s="227"/>
      <c r="E31" s="218"/>
      <c r="F31" s="219"/>
      <c r="G31" s="219"/>
      <c r="H31" s="219"/>
      <c r="I31" s="228"/>
      <c r="J31" s="229">
        <v>38077</v>
      </c>
      <c r="K31" s="261">
        <f>J31*12+0.08</f>
        <v>456924.08</v>
      </c>
    </row>
    <row r="32" spans="1:14" ht="27.75" customHeight="1" thickBot="1">
      <c r="A32" s="1405"/>
      <c r="B32" s="220" t="s">
        <v>101</v>
      </c>
      <c r="C32" s="225"/>
      <c r="D32" s="222">
        <f t="shared" ref="D32:K32" si="5">SUM(D30:D31)</f>
        <v>5.5</v>
      </c>
      <c r="E32" s="222">
        <f t="shared" si="5"/>
        <v>37721</v>
      </c>
      <c r="F32" s="222">
        <f t="shared" si="5"/>
        <v>41481.5</v>
      </c>
      <c r="G32" s="222">
        <f t="shared" si="5"/>
        <v>18666.68</v>
      </c>
      <c r="H32" s="222">
        <f t="shared" si="5"/>
        <v>6222.2300000000005</v>
      </c>
      <c r="I32" s="222">
        <f t="shared" si="5"/>
        <v>39822.245999999999</v>
      </c>
      <c r="J32" s="222">
        <f>SUM(J30:J31)</f>
        <v>144269.65600000002</v>
      </c>
      <c r="K32" s="222">
        <f t="shared" si="5"/>
        <v>1731235.952</v>
      </c>
      <c r="N32" s="258"/>
    </row>
    <row r="33" spans="1:12" ht="31.5" hidden="1" customHeight="1">
      <c r="A33" s="1279" t="s">
        <v>140</v>
      </c>
      <c r="B33" s="336" t="s">
        <v>70</v>
      </c>
      <c r="C33" s="1406" t="s">
        <v>71</v>
      </c>
      <c r="D33" s="230"/>
      <c r="E33" s="231"/>
      <c r="F33" s="232"/>
      <c r="G33" s="233"/>
      <c r="H33" s="233"/>
      <c r="I33" s="207"/>
      <c r="J33" s="204">
        <f t="shared" ref="J33:J37" si="6">F33+G33+H33+I33</f>
        <v>0</v>
      </c>
      <c r="K33" s="234" t="e">
        <f>#REF!/D33/247</f>
        <v>#REF!</v>
      </c>
    </row>
    <row r="34" spans="1:12" ht="30.75" customHeight="1">
      <c r="A34" s="1280"/>
      <c r="B34" s="337" t="s">
        <v>72</v>
      </c>
      <c r="C34" s="1407"/>
      <c r="D34" s="339">
        <v>1</v>
      </c>
      <c r="E34" s="262">
        <v>3783</v>
      </c>
      <c r="F34" s="291">
        <f>D34*E34</f>
        <v>3783</v>
      </c>
      <c r="G34" s="263">
        <v>756.6</v>
      </c>
      <c r="H34" s="263"/>
      <c r="I34" s="264">
        <f>(F34+G34+H34)*60%</f>
        <v>2723.76</v>
      </c>
      <c r="J34" s="264">
        <f>F34+G34+H34+I34</f>
        <v>7263.3600000000006</v>
      </c>
      <c r="K34" s="261">
        <f t="shared" ref="K34:K36" si="7">J34*12</f>
        <v>87160.320000000007</v>
      </c>
    </row>
    <row r="35" spans="1:12" ht="33.75" customHeight="1">
      <c r="A35" s="1280"/>
      <c r="B35" s="338" t="s">
        <v>85</v>
      </c>
      <c r="C35" s="1407"/>
      <c r="D35" s="265">
        <v>0.75</v>
      </c>
      <c r="E35" s="290">
        <v>2928</v>
      </c>
      <c r="F35" s="291">
        <f>D35*E35</f>
        <v>2196</v>
      </c>
      <c r="G35" s="263">
        <v>439.2</v>
      </c>
      <c r="H35" s="263">
        <v>109.8</v>
      </c>
      <c r="I35" s="264">
        <f>(F35+G35+H35)*60%</f>
        <v>1647</v>
      </c>
      <c r="J35" s="292">
        <f t="shared" si="6"/>
        <v>4392</v>
      </c>
      <c r="K35" s="261">
        <f t="shared" si="7"/>
        <v>52704</v>
      </c>
    </row>
    <row r="36" spans="1:12" ht="48.75" customHeight="1" thickBot="1">
      <c r="A36" s="1280"/>
      <c r="B36" s="337" t="s">
        <v>124</v>
      </c>
      <c r="C36" s="1408"/>
      <c r="D36" s="237">
        <v>0.25</v>
      </c>
      <c r="E36" s="262">
        <v>2928</v>
      </c>
      <c r="F36" s="291">
        <f>D36*E36</f>
        <v>732</v>
      </c>
      <c r="G36" s="263">
        <v>146.4</v>
      </c>
      <c r="H36" s="263">
        <v>36.6</v>
      </c>
      <c r="I36" s="264">
        <f>(F36+G36+H36)*60%</f>
        <v>549</v>
      </c>
      <c r="J36" s="264">
        <f t="shared" si="6"/>
        <v>1464</v>
      </c>
      <c r="K36" s="261">
        <f t="shared" si="7"/>
        <v>17568</v>
      </c>
    </row>
    <row r="37" spans="1:12" ht="29.25" hidden="1" customHeight="1">
      <c r="A37" s="1280"/>
      <c r="B37" s="337" t="s">
        <v>75</v>
      </c>
      <c r="C37" s="209" t="s">
        <v>76</v>
      </c>
      <c r="D37" s="237"/>
      <c r="E37" s="202"/>
      <c r="F37" s="235"/>
      <c r="G37" s="203"/>
      <c r="H37" s="203"/>
      <c r="I37" s="207"/>
      <c r="J37" s="204">
        <f t="shared" si="6"/>
        <v>0</v>
      </c>
      <c r="K37" s="205"/>
    </row>
    <row r="38" spans="1:12" ht="29.25" hidden="1" customHeight="1">
      <c r="A38" s="1280"/>
      <c r="B38" s="338"/>
      <c r="C38" s="209"/>
      <c r="D38" s="236"/>
      <c r="E38" s="210"/>
      <c r="F38" s="238"/>
      <c r="G38" s="211"/>
      <c r="H38" s="211"/>
      <c r="I38" s="211"/>
      <c r="J38" s="211"/>
      <c r="K38" s="223"/>
    </row>
    <row r="39" spans="1:12" ht="29.25" hidden="1" customHeight="1" thickBot="1">
      <c r="A39" s="1280"/>
      <c r="B39" s="338"/>
      <c r="C39" s="209"/>
      <c r="D39" s="236"/>
      <c r="E39" s="210"/>
      <c r="F39" s="238"/>
      <c r="G39" s="211"/>
      <c r="H39" s="211"/>
      <c r="I39" s="211"/>
      <c r="J39" s="211">
        <v>0</v>
      </c>
      <c r="K39" s="223"/>
    </row>
    <row r="40" spans="1:12" s="240" customFormat="1" ht="29.25" customHeight="1" thickBot="1">
      <c r="A40" s="282"/>
      <c r="B40" s="224" t="s">
        <v>67</v>
      </c>
      <c r="C40" s="225"/>
      <c r="D40" s="222">
        <f t="shared" ref="D40:I40" si="8">SUM(D33:D39)</f>
        <v>2</v>
      </c>
      <c r="E40" s="222">
        <f t="shared" si="8"/>
        <v>9639</v>
      </c>
      <c r="F40" s="222">
        <f t="shared" si="8"/>
        <v>6711</v>
      </c>
      <c r="G40" s="222">
        <f t="shared" si="8"/>
        <v>1342.2</v>
      </c>
      <c r="H40" s="222">
        <f t="shared" si="8"/>
        <v>146.4</v>
      </c>
      <c r="I40" s="222">
        <f t="shared" si="8"/>
        <v>4919.76</v>
      </c>
      <c r="J40" s="222">
        <f>SUM(J33:J39)</f>
        <v>13119.36</v>
      </c>
      <c r="K40" s="222">
        <f>SUM(K34:K39)</f>
        <v>157432.32000000001</v>
      </c>
    </row>
    <row r="41" spans="1:12" ht="29.25" customHeight="1" thickBot="1">
      <c r="A41" s="333"/>
      <c r="B41" s="214" t="s">
        <v>77</v>
      </c>
      <c r="C41" s="215"/>
      <c r="D41" s="283"/>
      <c r="E41" s="284"/>
      <c r="F41" s="285"/>
      <c r="G41" s="286"/>
      <c r="H41" s="286"/>
      <c r="I41" s="286"/>
      <c r="J41" s="287">
        <f>J40*15%</f>
        <v>1967.904</v>
      </c>
      <c r="K41" s="261">
        <f>J41*12</f>
        <v>23614.847999999998</v>
      </c>
    </row>
    <row r="42" spans="1:12" ht="55.5" customHeight="1" thickBot="1">
      <c r="A42" s="333"/>
      <c r="B42" s="288" t="s">
        <v>160</v>
      </c>
      <c r="C42" s="334"/>
      <c r="D42" s="227"/>
      <c r="E42" s="218"/>
      <c r="F42" s="232"/>
      <c r="G42" s="219"/>
      <c r="H42" s="219"/>
      <c r="I42" s="219"/>
      <c r="J42" s="289">
        <v>23728.74</v>
      </c>
      <c r="K42" s="261">
        <f>J42*12</f>
        <v>284744.88</v>
      </c>
    </row>
    <row r="43" spans="1:12" s="240" customFormat="1" ht="29.25" customHeight="1" thickBot="1">
      <c r="A43" s="239"/>
      <c r="B43" s="224" t="s">
        <v>139</v>
      </c>
      <c r="C43" s="225"/>
      <c r="D43" s="222">
        <f t="shared" ref="D43:K43" si="9">D40+D41+D42</f>
        <v>2</v>
      </c>
      <c r="E43" s="222">
        <f t="shared" si="9"/>
        <v>9639</v>
      </c>
      <c r="F43" s="222">
        <f t="shared" si="9"/>
        <v>6711</v>
      </c>
      <c r="G43" s="222">
        <f t="shared" si="9"/>
        <v>1342.2</v>
      </c>
      <c r="H43" s="222">
        <f t="shared" si="9"/>
        <v>146.4</v>
      </c>
      <c r="I43" s="222">
        <f t="shared" si="9"/>
        <v>4919.76</v>
      </c>
      <c r="J43" s="226">
        <f>J40+J41+J42</f>
        <v>38816.004000000001</v>
      </c>
      <c r="K43" s="226">
        <f t="shared" si="9"/>
        <v>465792.04800000001</v>
      </c>
    </row>
    <row r="44" spans="1:12" ht="24.75" customHeight="1">
      <c r="A44" s="248"/>
      <c r="B44" s="249" t="s">
        <v>115</v>
      </c>
      <c r="C44" s="250"/>
      <c r="D44" s="251">
        <f>D24+D32+D43</f>
        <v>8.5</v>
      </c>
      <c r="E44" s="251">
        <f t="shared" ref="E44:K44" si="10">E24+E32+E43</f>
        <v>60437</v>
      </c>
      <c r="F44" s="251">
        <f t="shared" si="10"/>
        <v>61269.5</v>
      </c>
      <c r="G44" s="251">
        <f t="shared" si="10"/>
        <v>25893.530000000002</v>
      </c>
      <c r="H44" s="251">
        <f t="shared" si="10"/>
        <v>7022.4800000000005</v>
      </c>
      <c r="I44" s="251">
        <f t="shared" si="10"/>
        <v>56511.306000000004</v>
      </c>
      <c r="J44" s="251">
        <f>J24+J32+J43</f>
        <v>222316.66000000003</v>
      </c>
      <c r="K44" s="251">
        <f t="shared" si="10"/>
        <v>2667800</v>
      </c>
    </row>
    <row r="45" spans="1:12">
      <c r="L45" s="323">
        <f>J44*12</f>
        <v>2667799.9200000004</v>
      </c>
    </row>
    <row r="47" spans="1:12">
      <c r="B47" s="252" t="s">
        <v>99</v>
      </c>
      <c r="G47" s="1" t="s">
        <v>127</v>
      </c>
      <c r="H47" s="252"/>
    </row>
    <row r="48" spans="1:12">
      <c r="J48" s="254"/>
    </row>
    <row r="49" spans="2:11">
      <c r="J49" s="255"/>
    </row>
    <row r="50" spans="2:11">
      <c r="B50" s="1" t="s">
        <v>206</v>
      </c>
      <c r="F50" s="258"/>
    </row>
    <row r="51" spans="2:11" ht="12" hidden="1" customHeight="1">
      <c r="H51" s="1" t="s">
        <v>158</v>
      </c>
      <c r="J51" s="259"/>
    </row>
    <row r="52" spans="2:11" ht="12" hidden="1" customHeight="1"/>
    <row r="53" spans="2:11" ht="12" hidden="1" customHeight="1">
      <c r="H53" s="1" t="s">
        <v>159</v>
      </c>
      <c r="J53" s="259"/>
    </row>
    <row r="54" spans="2:11" ht="12" hidden="1" customHeight="1"/>
    <row r="55" spans="2:11" ht="12" hidden="1" customHeight="1"/>
    <row r="56" spans="2:11" ht="12" hidden="1" customHeight="1">
      <c r="J56" s="2"/>
    </row>
    <row r="57" spans="2:11">
      <c r="K57" s="259"/>
    </row>
    <row r="58" spans="2:11">
      <c r="K58" s="258"/>
    </row>
  </sheetData>
  <mergeCells count="25">
    <mergeCell ref="B17:J17"/>
    <mergeCell ref="A18:A24"/>
    <mergeCell ref="A25:A32"/>
    <mergeCell ref="A33:A39"/>
    <mergeCell ref="C33:C36"/>
    <mergeCell ref="I1:J1"/>
    <mergeCell ref="BD1:BU1"/>
    <mergeCell ref="BF3:BU3"/>
    <mergeCell ref="BF4:BU4"/>
    <mergeCell ref="A5:K5"/>
    <mergeCell ref="A15:A16"/>
    <mergeCell ref="C6:K6"/>
    <mergeCell ref="E8:F8"/>
    <mergeCell ref="G8:H8"/>
    <mergeCell ref="E9:F9"/>
    <mergeCell ref="G9:H9"/>
    <mergeCell ref="G15:H15"/>
    <mergeCell ref="I15:I16"/>
    <mergeCell ref="J15:J16"/>
    <mergeCell ref="K15:K16"/>
    <mergeCell ref="B15:B16"/>
    <mergeCell ref="C15:C16"/>
    <mergeCell ref="D15:D16"/>
    <mergeCell ref="E15:E16"/>
    <mergeCell ref="F15:F16"/>
  </mergeCells>
  <pageMargins left="0.39370078740157483" right="0.35433070866141736" top="0.19685039370078741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6600"/>
  </sheetPr>
  <dimension ref="A1:CJ81"/>
  <sheetViews>
    <sheetView topLeftCell="A10" workbookViewId="0">
      <selection activeCell="B50" sqref="B50:B60"/>
    </sheetView>
  </sheetViews>
  <sheetFormatPr defaultRowHeight="12.75"/>
  <cols>
    <col min="1" max="1" width="19.7109375" style="364" customWidth="1"/>
    <col min="2" max="2" width="22" style="364" customWidth="1"/>
    <col min="3" max="3" width="6.42578125" style="364" hidden="1" customWidth="1"/>
    <col min="4" max="4" width="7.28515625" style="364" customWidth="1"/>
    <col min="5" max="5" width="11.42578125" style="364" customWidth="1"/>
    <col min="6" max="6" width="12.140625" style="364" customWidth="1"/>
    <col min="7" max="7" width="10.5703125" style="364" customWidth="1"/>
    <col min="8" max="8" width="11.7109375" style="364" customWidth="1"/>
    <col min="9" max="9" width="13.28515625" style="364" customWidth="1"/>
    <col min="10" max="10" width="13.5703125" style="364" customWidth="1"/>
    <col min="11" max="11" width="14.7109375" style="364" customWidth="1"/>
    <col min="12" max="12" width="11.5703125" style="364" hidden="1" customWidth="1"/>
    <col min="13" max="13" width="13.28515625" style="364" hidden="1" customWidth="1"/>
    <col min="14" max="14" width="15" style="364" hidden="1" customWidth="1"/>
    <col min="15" max="15" width="13.7109375" style="364" hidden="1" customWidth="1"/>
    <col min="16" max="16" width="5.140625" style="364" hidden="1" customWidth="1"/>
    <col min="17" max="18" width="9.28515625" style="364" hidden="1" customWidth="1"/>
    <col min="19" max="19" width="13.42578125" style="364" hidden="1" customWidth="1"/>
    <col min="20" max="20" width="10.5703125" style="364" hidden="1" customWidth="1"/>
    <col min="21" max="21" width="14.5703125" style="364" hidden="1" customWidth="1"/>
    <col min="22" max="23" width="11.7109375" style="364" hidden="1" customWidth="1"/>
    <col min="24" max="24" width="13" style="364" hidden="1" customWidth="1"/>
    <col min="25" max="25" width="12.42578125" style="364" hidden="1" customWidth="1"/>
    <col min="26" max="26" width="17.7109375" style="364" hidden="1" customWidth="1"/>
    <col min="27" max="27" width="12.28515625" style="364" hidden="1" customWidth="1"/>
    <col min="28" max="28" width="16.7109375" style="364" hidden="1" customWidth="1"/>
    <col min="29" max="29" width="12.28515625" style="364" hidden="1" customWidth="1"/>
    <col min="30" max="30" width="12.7109375" style="364" hidden="1" customWidth="1"/>
    <col min="31" max="31" width="15.140625" style="364" customWidth="1"/>
    <col min="32" max="32" width="15.7109375" style="364" customWidth="1"/>
    <col min="33" max="33" width="15" style="364" customWidth="1"/>
    <col min="34" max="34" width="14" style="364" customWidth="1"/>
    <col min="35" max="35" width="11.28515625" style="364" customWidth="1"/>
    <col min="36" max="36" width="12.42578125" style="364" customWidth="1"/>
    <col min="37" max="37" width="9.140625" style="364" customWidth="1"/>
    <col min="38" max="38" width="12.28515625" style="364" customWidth="1"/>
    <col min="39" max="39" width="11.42578125" style="364" customWidth="1"/>
    <col min="40" max="40" width="12.7109375" style="364" customWidth="1"/>
    <col min="41" max="41" width="9.140625" style="364" customWidth="1"/>
    <col min="42" max="42" width="6.85546875" style="364" customWidth="1"/>
    <col min="43" max="43" width="4" style="364" customWidth="1"/>
    <col min="44" max="49" width="9.140625" style="364" customWidth="1"/>
    <col min="50" max="50" width="11.5703125" style="364" customWidth="1"/>
    <col min="51" max="53" width="9.140625" style="364" customWidth="1"/>
    <col min="54" max="54" width="7.28515625" style="364" customWidth="1"/>
    <col min="55" max="55" width="9.140625" style="364" customWidth="1"/>
    <col min="56" max="56" width="9.140625" style="364"/>
    <col min="57" max="57" width="12" style="364" customWidth="1"/>
    <col min="58" max="58" width="9.140625" style="364"/>
    <col min="59" max="67" width="9.140625" style="364" customWidth="1"/>
    <col min="68" max="68" width="11.5703125" style="364" customWidth="1"/>
    <col min="69" max="69" width="9.140625" style="364"/>
    <col min="70" max="70" width="11.7109375" style="364" customWidth="1"/>
    <col min="71" max="71" width="2.5703125" style="364" customWidth="1"/>
    <col min="72" max="72" width="13" style="364" customWidth="1"/>
    <col min="73" max="73" width="12.42578125" style="364" customWidth="1"/>
    <col min="74" max="74" width="5.140625" style="364" customWidth="1"/>
    <col min="75" max="88" width="9.140625" style="364" customWidth="1"/>
    <col min="89" max="16384" width="9.140625" style="364"/>
  </cols>
  <sheetData>
    <row r="1" spans="1:88" ht="47.25" customHeight="1">
      <c r="A1" s="363"/>
      <c r="B1" s="363"/>
      <c r="C1" s="363"/>
      <c r="D1" s="363"/>
      <c r="E1" s="363"/>
      <c r="F1" s="363"/>
      <c r="G1" s="363"/>
      <c r="H1" s="363"/>
      <c r="I1" s="1306" t="s">
        <v>0</v>
      </c>
      <c r="J1" s="1307"/>
      <c r="K1" s="1307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363"/>
      <c r="BK1" s="363"/>
      <c r="BL1" s="363"/>
      <c r="BM1" s="363"/>
      <c r="BN1" s="363"/>
      <c r="BO1" s="363"/>
      <c r="BP1" s="363"/>
      <c r="BQ1" s="363"/>
      <c r="BR1" s="363"/>
      <c r="BS1" s="1308"/>
      <c r="BT1" s="1308"/>
      <c r="BU1" s="1308"/>
      <c r="BV1" s="1308"/>
      <c r="BW1" s="1308"/>
      <c r="BX1" s="1308"/>
      <c r="BY1" s="1308"/>
      <c r="BZ1" s="1308"/>
      <c r="CA1" s="1308"/>
      <c r="CB1" s="1308"/>
      <c r="CC1" s="1308"/>
      <c r="CD1" s="1308"/>
      <c r="CE1" s="1308"/>
      <c r="CF1" s="1308"/>
      <c r="CG1" s="1308"/>
      <c r="CH1" s="1308"/>
      <c r="CI1" s="1308"/>
      <c r="CJ1" s="1308"/>
    </row>
    <row r="2" spans="1:88">
      <c r="F2" s="363" t="s">
        <v>2</v>
      </c>
      <c r="G2" s="363"/>
      <c r="H2" s="365" t="s">
        <v>1</v>
      </c>
    </row>
    <row r="3" spans="1:88">
      <c r="F3" s="363"/>
      <c r="G3" s="363"/>
      <c r="H3" s="365" t="s">
        <v>162</v>
      </c>
    </row>
    <row r="4" spans="1:88">
      <c r="A4" s="363"/>
      <c r="B4" s="363"/>
      <c r="C4" s="363"/>
      <c r="D4" s="363"/>
      <c r="E4" s="363"/>
      <c r="F4" s="363" t="s">
        <v>4</v>
      </c>
      <c r="G4" s="363"/>
      <c r="H4" s="365" t="s">
        <v>161</v>
      </c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1309"/>
      <c r="BV4" s="1309"/>
      <c r="BW4" s="1309"/>
      <c r="BX4" s="1309"/>
      <c r="BY4" s="1309"/>
      <c r="BZ4" s="1309"/>
      <c r="CA4" s="1309"/>
      <c r="CB4" s="1309"/>
      <c r="CC4" s="1309"/>
      <c r="CD4" s="1309"/>
      <c r="CE4" s="1309"/>
      <c r="CF4" s="1309"/>
      <c r="CG4" s="1309"/>
      <c r="CH4" s="1309"/>
      <c r="CI4" s="1309"/>
      <c r="CJ4" s="1309"/>
    </row>
    <row r="5" spans="1:88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1309"/>
      <c r="BV5" s="1309"/>
      <c r="BW5" s="1309"/>
      <c r="BX5" s="1309"/>
      <c r="BY5" s="1309"/>
      <c r="BZ5" s="1309"/>
      <c r="CA5" s="1309"/>
      <c r="CB5" s="1309"/>
      <c r="CC5" s="1309"/>
      <c r="CD5" s="1309"/>
      <c r="CE5" s="1309"/>
      <c r="CF5" s="1309"/>
      <c r="CG5" s="1309"/>
      <c r="CH5" s="1309"/>
      <c r="CI5" s="1309"/>
      <c r="CJ5" s="1309"/>
    </row>
    <row r="6" spans="1:88" ht="23.25" customHeight="1">
      <c r="A6" s="1350" t="s">
        <v>163</v>
      </c>
      <c r="B6" s="1351"/>
      <c r="C6" s="1351"/>
      <c r="D6" s="1351"/>
      <c r="E6" s="1351"/>
      <c r="F6" s="1351"/>
      <c r="G6" s="1351"/>
      <c r="H6" s="1351"/>
      <c r="I6" s="1351"/>
      <c r="J6" s="1351"/>
      <c r="K6" s="1351"/>
    </row>
    <row r="7" spans="1:88" ht="24" customHeight="1">
      <c r="A7" s="1409" t="s">
        <v>164</v>
      </c>
      <c r="B7" s="1410"/>
      <c r="C7" s="1410"/>
      <c r="D7" s="1410"/>
      <c r="E7" s="1410"/>
      <c r="F7" s="1410"/>
      <c r="G7" s="1410"/>
      <c r="H7" s="1410"/>
      <c r="I7" s="1410"/>
      <c r="J7" s="1410"/>
      <c r="K7" s="1410"/>
    </row>
    <row r="8" spans="1:88" ht="32.25" customHeight="1">
      <c r="A8" s="439"/>
      <c r="B8" s="439"/>
      <c r="C8" s="440"/>
      <c r="D8" s="440"/>
      <c r="E8" s="440"/>
      <c r="F8" s="440"/>
      <c r="G8" s="440"/>
      <c r="H8" s="439"/>
      <c r="J8" s="439"/>
      <c r="K8" s="439"/>
    </row>
    <row r="9" spans="1:88" ht="28.5" customHeight="1">
      <c r="A9" s="439"/>
      <c r="B9" s="439"/>
      <c r="C9" s="440"/>
      <c r="D9" s="440"/>
      <c r="E9" s="1312" t="s">
        <v>9</v>
      </c>
      <c r="F9" s="1312"/>
      <c r="G9" s="1312" t="s">
        <v>10</v>
      </c>
      <c r="H9" s="1312"/>
      <c r="I9" s="439"/>
      <c r="J9" s="439"/>
      <c r="K9" s="439"/>
    </row>
    <row r="10" spans="1:88" ht="26.25" customHeight="1">
      <c r="B10" s="441" t="s">
        <v>11</v>
      </c>
      <c r="C10" s="440"/>
      <c r="D10" s="440"/>
      <c r="E10" s="1312">
        <v>1</v>
      </c>
      <c r="F10" s="1312"/>
      <c r="G10" s="1313" t="s">
        <v>219</v>
      </c>
      <c r="H10" s="1312"/>
      <c r="I10" s="439" t="s">
        <v>12</v>
      </c>
      <c r="J10" s="439"/>
      <c r="K10" s="439"/>
    </row>
    <row r="11" spans="1:88">
      <c r="A11" s="439"/>
      <c r="B11" s="439"/>
      <c r="C11" s="440"/>
      <c r="D11" s="440"/>
      <c r="E11" s="440"/>
      <c r="F11" s="440"/>
      <c r="G11" s="440"/>
      <c r="H11" s="440"/>
      <c r="I11" s="440" t="s">
        <v>13</v>
      </c>
      <c r="J11" s="440"/>
      <c r="K11" s="440"/>
    </row>
    <row r="12" spans="1:88">
      <c r="A12" s="440"/>
      <c r="B12" s="442" t="s">
        <v>394</v>
      </c>
      <c r="C12" s="440"/>
      <c r="D12" s="440"/>
      <c r="E12" s="440"/>
      <c r="F12" s="440"/>
      <c r="G12" s="440"/>
      <c r="H12" s="440"/>
      <c r="I12" s="440" t="s">
        <v>14</v>
      </c>
      <c r="J12" s="443"/>
      <c r="K12" s="440"/>
    </row>
    <row r="13" spans="1:88">
      <c r="A13" s="440"/>
      <c r="B13" s="440"/>
      <c r="C13" s="440"/>
      <c r="D13" s="440"/>
      <c r="E13" s="440"/>
      <c r="F13" s="440"/>
      <c r="G13" s="440"/>
      <c r="H13" s="440"/>
      <c r="I13" s="440" t="s">
        <v>141</v>
      </c>
      <c r="J13" s="443">
        <f>J67</f>
        <v>2193993.6336000003</v>
      </c>
      <c r="K13" s="440"/>
    </row>
    <row r="14" spans="1:88" ht="21" customHeight="1">
      <c r="A14" s="440"/>
      <c r="B14" s="444" t="s">
        <v>174</v>
      </c>
      <c r="C14" s="440"/>
      <c r="D14" s="445">
        <v>195</v>
      </c>
      <c r="E14" s="439"/>
      <c r="F14" s="439"/>
      <c r="G14" s="439"/>
      <c r="H14" s="440"/>
      <c r="I14" s="440" t="s">
        <v>15</v>
      </c>
      <c r="J14" s="440"/>
      <c r="K14" s="446">
        <f>D67</f>
        <v>68.849999999999994</v>
      </c>
    </row>
    <row r="15" spans="1:88">
      <c r="B15" s="447" t="s">
        <v>173</v>
      </c>
      <c r="D15" s="448">
        <v>11</v>
      </c>
      <c r="E15" s="449"/>
      <c r="F15" s="449"/>
      <c r="G15" s="449"/>
      <c r="K15" s="450" t="s">
        <v>16</v>
      </c>
    </row>
    <row r="16" spans="1:88">
      <c r="A16" s="1312" t="s">
        <v>17</v>
      </c>
      <c r="B16" s="1312" t="s">
        <v>18</v>
      </c>
      <c r="C16" s="1312" t="s">
        <v>19</v>
      </c>
      <c r="D16" s="1312" t="s">
        <v>20</v>
      </c>
      <c r="E16" s="1312" t="s">
        <v>21</v>
      </c>
      <c r="F16" s="1312" t="s">
        <v>5</v>
      </c>
      <c r="G16" s="1312" t="s">
        <v>6</v>
      </c>
      <c r="H16" s="1312"/>
      <c r="I16" s="1312" t="s">
        <v>7</v>
      </c>
      <c r="J16" s="1312" t="s">
        <v>22</v>
      </c>
      <c r="K16" s="1312" t="s">
        <v>196</v>
      </c>
    </row>
    <row r="17" spans="1:31" ht="45.75" customHeight="1">
      <c r="A17" s="1312"/>
      <c r="B17" s="1312"/>
      <c r="C17" s="1312"/>
      <c r="D17" s="1312"/>
      <c r="E17" s="1312"/>
      <c r="F17" s="1312"/>
      <c r="G17" s="836" t="s">
        <v>24</v>
      </c>
      <c r="H17" s="836" t="s">
        <v>25</v>
      </c>
      <c r="I17" s="1312"/>
      <c r="J17" s="1312"/>
      <c r="K17" s="1312"/>
    </row>
    <row r="18" spans="1:31" ht="12.75" customHeight="1">
      <c r="A18" s="452"/>
      <c r="B18" s="1295" t="s">
        <v>142</v>
      </c>
      <c r="C18" s="1296"/>
      <c r="D18" s="1296"/>
      <c r="E18" s="1296"/>
      <c r="F18" s="1296"/>
      <c r="G18" s="1296"/>
      <c r="H18" s="1296"/>
      <c r="I18" s="1296"/>
      <c r="J18" s="1296"/>
      <c r="K18" s="1296"/>
    </row>
    <row r="19" spans="1:31" ht="38.25" customHeight="1">
      <c r="A19" s="1297" t="s">
        <v>188</v>
      </c>
      <c r="B19" s="834" t="s">
        <v>165</v>
      </c>
      <c r="C19" s="835"/>
      <c r="D19" s="380">
        <v>1</v>
      </c>
      <c r="E19" s="381">
        <v>19736</v>
      </c>
      <c r="F19" s="383">
        <f t="shared" ref="F19:F26" si="0">D19*E19</f>
        <v>19736</v>
      </c>
      <c r="G19" s="383">
        <f>F19*25%</f>
        <v>4934</v>
      </c>
      <c r="H19" s="383">
        <v>6907.6</v>
      </c>
      <c r="I19" s="453">
        <f t="shared" ref="I19:I27" si="1">(F19+G19+H19)*60%</f>
        <v>18946.559999999998</v>
      </c>
      <c r="J19" s="453">
        <f t="shared" ref="J19:J27" si="2">F19+G19+H19+I19</f>
        <v>50524.159999999996</v>
      </c>
      <c r="K19" s="375">
        <f>J19*12</f>
        <v>606289.91999999993</v>
      </c>
    </row>
    <row r="20" spans="1:31" ht="29.25" hidden="1" customHeight="1">
      <c r="A20" s="1298"/>
      <c r="B20" s="834"/>
      <c r="C20" s="835"/>
      <c r="D20" s="373"/>
      <c r="E20" s="374"/>
      <c r="F20" s="383"/>
      <c r="G20" s="383">
        <f t="shared" ref="G20:G21" si="3">F20*25%</f>
        <v>0</v>
      </c>
      <c r="H20" s="383"/>
      <c r="I20" s="453"/>
      <c r="J20" s="453"/>
      <c r="K20" s="375">
        <f t="shared" ref="K20:K26" si="4">J20*12</f>
        <v>0</v>
      </c>
    </row>
    <row r="21" spans="1:31" ht="29.25" customHeight="1">
      <c r="A21" s="1299"/>
      <c r="B21" s="834" t="s">
        <v>166</v>
      </c>
      <c r="C21" s="835"/>
      <c r="D21" s="835">
        <v>1</v>
      </c>
      <c r="E21" s="374">
        <v>13815</v>
      </c>
      <c r="F21" s="383">
        <f t="shared" si="0"/>
        <v>13815</v>
      </c>
      <c r="G21" s="383">
        <f t="shared" si="3"/>
        <v>3453.75</v>
      </c>
      <c r="H21" s="375">
        <v>4144.5</v>
      </c>
      <c r="I21" s="453">
        <f t="shared" si="1"/>
        <v>12847.949999999999</v>
      </c>
      <c r="J21" s="453">
        <f t="shared" si="2"/>
        <v>34261.199999999997</v>
      </c>
      <c r="K21" s="375">
        <f t="shared" si="4"/>
        <v>411134.39999999997</v>
      </c>
      <c r="AB21" s="455">
        <f>J21+J22</f>
        <v>70732.799999999988</v>
      </c>
    </row>
    <row r="22" spans="1:31" ht="62.25" customHeight="1">
      <c r="A22" s="1299"/>
      <c r="B22" s="842" t="s">
        <v>167</v>
      </c>
      <c r="C22" s="388"/>
      <c r="D22" s="388">
        <v>1</v>
      </c>
      <c r="E22" s="386">
        <v>13815</v>
      </c>
      <c r="F22" s="383">
        <f t="shared" si="0"/>
        <v>13815</v>
      </c>
      <c r="G22" s="391">
        <v>3453.75</v>
      </c>
      <c r="H22" s="391">
        <v>5526</v>
      </c>
      <c r="I22" s="453">
        <f t="shared" si="1"/>
        <v>13676.85</v>
      </c>
      <c r="J22" s="453">
        <f t="shared" si="2"/>
        <v>36471.599999999999</v>
      </c>
      <c r="K22" s="375">
        <f t="shared" si="4"/>
        <v>437659.19999999995</v>
      </c>
    </row>
    <row r="23" spans="1:31" ht="43.5" customHeight="1">
      <c r="A23" s="1299"/>
      <c r="B23" s="842" t="s">
        <v>357</v>
      </c>
      <c r="C23" s="388"/>
      <c r="D23" s="388">
        <v>1</v>
      </c>
      <c r="E23" s="386">
        <v>6742</v>
      </c>
      <c r="F23" s="383">
        <f t="shared" si="0"/>
        <v>6742</v>
      </c>
      <c r="G23" s="391">
        <v>10113</v>
      </c>
      <c r="H23" s="391"/>
      <c r="I23" s="454">
        <f t="shared" si="1"/>
        <v>10113</v>
      </c>
      <c r="J23" s="454">
        <f t="shared" si="2"/>
        <v>26968</v>
      </c>
      <c r="K23" s="375">
        <f t="shared" si="4"/>
        <v>323616</v>
      </c>
    </row>
    <row r="24" spans="1:31" ht="25.5" customHeight="1">
      <c r="A24" s="1299"/>
      <c r="B24" s="842" t="s">
        <v>169</v>
      </c>
      <c r="C24" s="388"/>
      <c r="D24" s="388">
        <v>1</v>
      </c>
      <c r="E24" s="386">
        <v>3813</v>
      </c>
      <c r="F24" s="383">
        <f t="shared" si="0"/>
        <v>3813</v>
      </c>
      <c r="G24" s="391">
        <v>953.25</v>
      </c>
      <c r="H24" s="391">
        <v>190.65</v>
      </c>
      <c r="I24" s="454">
        <f t="shared" si="1"/>
        <v>2974.14</v>
      </c>
      <c r="J24" s="454">
        <f t="shared" si="2"/>
        <v>7931.0399999999991</v>
      </c>
      <c r="K24" s="375">
        <f t="shared" si="4"/>
        <v>95172.479999999981</v>
      </c>
      <c r="AE24" s="461">
        <f>K19+K21+K22+K23</f>
        <v>1778699.5199999998</v>
      </c>
    </row>
    <row r="25" spans="1:31" ht="22.5" customHeight="1">
      <c r="A25" s="1299"/>
      <c r="B25" s="1038" t="s">
        <v>143</v>
      </c>
      <c r="C25" s="1039"/>
      <c r="D25" s="1039">
        <v>14</v>
      </c>
      <c r="E25" s="1040">
        <v>4305</v>
      </c>
      <c r="F25" s="1041">
        <f t="shared" si="0"/>
        <v>60270</v>
      </c>
      <c r="G25" s="1042"/>
      <c r="H25" s="1042">
        <v>6242.25</v>
      </c>
      <c r="I25" s="1043">
        <f t="shared" si="1"/>
        <v>39907.35</v>
      </c>
      <c r="J25" s="1043">
        <f t="shared" si="2"/>
        <v>106419.6</v>
      </c>
      <c r="K25" s="1044">
        <f t="shared" si="4"/>
        <v>1277035.2000000002</v>
      </c>
    </row>
    <row r="26" spans="1:31" ht="29.25" customHeight="1" thickBot="1">
      <c r="A26" s="1299"/>
      <c r="B26" s="842" t="s">
        <v>170</v>
      </c>
      <c r="C26" s="388"/>
      <c r="D26" s="388">
        <v>1</v>
      </c>
      <c r="E26" s="386">
        <v>4650</v>
      </c>
      <c r="F26" s="391">
        <f t="shared" si="0"/>
        <v>4650</v>
      </c>
      <c r="G26" s="391">
        <v>1162.5</v>
      </c>
      <c r="H26" s="391">
        <v>232.5</v>
      </c>
      <c r="I26" s="454">
        <f t="shared" si="1"/>
        <v>3627</v>
      </c>
      <c r="J26" s="454">
        <f t="shared" si="2"/>
        <v>9672</v>
      </c>
      <c r="K26" s="375">
        <f t="shared" si="4"/>
        <v>116064</v>
      </c>
      <c r="U26" s="461">
        <f>K19+K21+K22+K23+K24+K26</f>
        <v>1989935.9999999998</v>
      </c>
    </row>
    <row r="27" spans="1:31" ht="20.25" hidden="1" customHeight="1">
      <c r="A27" s="1299"/>
      <c r="B27" s="834" t="s">
        <v>111</v>
      </c>
      <c r="C27" s="835"/>
      <c r="D27" s="835"/>
      <c r="E27" s="374"/>
      <c r="F27" s="375"/>
      <c r="G27" s="375"/>
      <c r="H27" s="375"/>
      <c r="I27" s="453">
        <f t="shared" si="1"/>
        <v>0</v>
      </c>
      <c r="J27" s="453">
        <f t="shared" si="2"/>
        <v>0</v>
      </c>
      <c r="K27" s="375">
        <f t="shared" ref="K27" si="5">J27*7</f>
        <v>0</v>
      </c>
    </row>
    <row r="28" spans="1:31" ht="20.25" hidden="1" customHeight="1" thickBot="1">
      <c r="A28" s="1299"/>
      <c r="B28" s="842" t="s">
        <v>74</v>
      </c>
      <c r="C28" s="388"/>
      <c r="D28" s="388"/>
      <c r="E28" s="386"/>
      <c r="F28" s="391"/>
      <c r="G28" s="391"/>
      <c r="H28" s="391"/>
      <c r="I28" s="454"/>
      <c r="J28" s="454"/>
      <c r="K28" s="391"/>
    </row>
    <row r="29" spans="1:31" ht="35.25" customHeight="1" thickBot="1">
      <c r="A29" s="1299"/>
      <c r="B29" s="456"/>
      <c r="C29" s="457"/>
      <c r="D29" s="783">
        <f>SUM(D19:D26)</f>
        <v>20</v>
      </c>
      <c r="E29" s="783">
        <f t="shared" ref="E29:J29" si="6">SUM(E19:E26)</f>
        <v>66876</v>
      </c>
      <c r="F29" s="458">
        <f t="shared" si="6"/>
        <v>122841</v>
      </c>
      <c r="G29" s="458">
        <f t="shared" si="6"/>
        <v>24070.25</v>
      </c>
      <c r="H29" s="458">
        <f t="shared" si="6"/>
        <v>23243.5</v>
      </c>
      <c r="I29" s="458">
        <f t="shared" si="6"/>
        <v>102092.84999999999</v>
      </c>
      <c r="J29" s="458">
        <f t="shared" si="6"/>
        <v>272247.59999999998</v>
      </c>
      <c r="K29" s="666">
        <f>SUM(K19:K26)</f>
        <v>3266971.2</v>
      </c>
      <c r="M29" s="455">
        <f>J19+J20+J21+J22+J23+J24</f>
        <v>156156</v>
      </c>
      <c r="W29" s="455">
        <f>J24+J25+J26</f>
        <v>124022.64</v>
      </c>
      <c r="AC29" s="455"/>
      <c r="AE29" s="476">
        <f>K29*10%</f>
        <v>326697.12000000005</v>
      </c>
    </row>
    <row r="30" spans="1:31" ht="28.5" customHeight="1">
      <c r="A30" s="1299"/>
      <c r="B30" s="834" t="s">
        <v>171</v>
      </c>
      <c r="C30" s="839"/>
      <c r="D30" s="380"/>
      <c r="E30" s="380"/>
      <c r="F30" s="459"/>
      <c r="G30" s="459"/>
      <c r="H30" s="459"/>
      <c r="I30" s="459"/>
      <c r="J30" s="459">
        <f>J29*20%</f>
        <v>54449.52</v>
      </c>
      <c r="K30" s="375">
        <f t="shared" ref="K30:K32" si="7">J30*12</f>
        <v>653394.24</v>
      </c>
      <c r="W30" s="705">
        <f>W29*15%</f>
        <v>18603.396000000001</v>
      </c>
      <c r="AD30" s="705">
        <f>J24+J25+J26</f>
        <v>124022.64</v>
      </c>
    </row>
    <row r="31" spans="1:31" ht="54.75" customHeight="1">
      <c r="A31" s="1299"/>
      <c r="B31" s="460" t="s">
        <v>78</v>
      </c>
      <c r="C31" s="835"/>
      <c r="D31" s="373"/>
      <c r="E31" s="373"/>
      <c r="F31" s="389"/>
      <c r="G31" s="389"/>
      <c r="H31" s="389"/>
      <c r="I31" s="389"/>
      <c r="J31" s="389">
        <v>221219</v>
      </c>
      <c r="K31" s="375">
        <f t="shared" si="7"/>
        <v>2654628</v>
      </c>
      <c r="M31" s="784">
        <f>D23+D24+D25+D26</f>
        <v>17</v>
      </c>
      <c r="W31" s="461">
        <f>W29+W30+J31</f>
        <v>363845.03599999996</v>
      </c>
    </row>
    <row r="32" spans="1:31" ht="33" customHeight="1" thickBot="1">
      <c r="A32" s="1299"/>
      <c r="B32" s="842" t="s">
        <v>172</v>
      </c>
      <c r="C32" s="388"/>
      <c r="D32" s="385"/>
      <c r="E32" s="385"/>
      <c r="F32" s="390"/>
      <c r="G32" s="390"/>
      <c r="H32" s="390"/>
      <c r="I32" s="390"/>
      <c r="J32" s="390"/>
      <c r="K32" s="375">
        <f t="shared" si="7"/>
        <v>0</v>
      </c>
      <c r="M32" s="364" t="s">
        <v>193</v>
      </c>
    </row>
    <row r="33" spans="1:32" ht="39" thickBot="1">
      <c r="A33" s="1299"/>
      <c r="B33" s="462" t="s">
        <v>145</v>
      </c>
      <c r="C33" s="457"/>
      <c r="D33" s="463">
        <f>D29+D30+D31+D32</f>
        <v>20</v>
      </c>
      <c r="E33" s="463">
        <f t="shared" ref="E33:K33" si="8">E29+E30+E31+E32</f>
        <v>66876</v>
      </c>
      <c r="F33" s="463">
        <f t="shared" si="8"/>
        <v>122841</v>
      </c>
      <c r="G33" s="463">
        <f t="shared" si="8"/>
        <v>24070.25</v>
      </c>
      <c r="H33" s="463">
        <f t="shared" si="8"/>
        <v>23243.5</v>
      </c>
      <c r="I33" s="463">
        <f t="shared" si="8"/>
        <v>102092.84999999999</v>
      </c>
      <c r="J33" s="463">
        <f>J29+J30+J31+J32</f>
        <v>547916.12</v>
      </c>
      <c r="K33" s="464">
        <f t="shared" si="8"/>
        <v>6574993.4400000004</v>
      </c>
      <c r="O33" s="476">
        <v>6272481.8200000003</v>
      </c>
      <c r="S33" s="476">
        <v>6272481.8200000003</v>
      </c>
      <c r="T33" s="461">
        <f>K33+'[1]проточ ссап'!K33</f>
        <v>6774651.8080000002</v>
      </c>
      <c r="AD33" s="461">
        <f>K33+'проточ ссап'!K33</f>
        <v>6913554</v>
      </c>
    </row>
    <row r="34" spans="1:32" ht="16.5" customHeight="1">
      <c r="A34" s="1412" t="s">
        <v>32</v>
      </c>
      <c r="B34" s="1295" t="s">
        <v>144</v>
      </c>
      <c r="C34" s="1296"/>
      <c r="D34" s="1296"/>
      <c r="E34" s="1296"/>
      <c r="F34" s="1296"/>
      <c r="G34" s="1296"/>
      <c r="H34" s="1296"/>
      <c r="I34" s="1296"/>
      <c r="J34" s="1296"/>
      <c r="K34" s="1296"/>
      <c r="X34" s="455"/>
    </row>
    <row r="35" spans="1:32" ht="21.75" customHeight="1">
      <c r="A35" s="1413"/>
      <c r="B35" s="883" t="s">
        <v>146</v>
      </c>
      <c r="C35" s="884" t="s">
        <v>36</v>
      </c>
      <c r="D35" s="373">
        <v>3.1</v>
      </c>
      <c r="E35" s="374">
        <v>8168</v>
      </c>
      <c r="F35" s="375">
        <v>26782.62</v>
      </c>
      <c r="G35" s="375">
        <v>6532.3</v>
      </c>
      <c r="H35" s="375">
        <v>4571.0200000000004</v>
      </c>
      <c r="I35" s="453">
        <f>(F35+G35+H35)*60%</f>
        <v>22731.564000000002</v>
      </c>
      <c r="J35" s="453">
        <f t="shared" ref="J35:J44" si="9">F35+G35+H35+I35</f>
        <v>60617.504000000001</v>
      </c>
      <c r="K35" s="375">
        <f t="shared" ref="K35:K43" si="10">J35*12</f>
        <v>727410.04799999995</v>
      </c>
      <c r="X35" s="455"/>
    </row>
    <row r="36" spans="1:32" ht="21.75" customHeight="1">
      <c r="A36" s="1413"/>
      <c r="B36" s="834" t="s">
        <v>146</v>
      </c>
      <c r="C36" s="835"/>
      <c r="D36" s="373">
        <v>15.5</v>
      </c>
      <c r="E36" s="374">
        <v>7171</v>
      </c>
      <c r="F36" s="375">
        <v>122265.55</v>
      </c>
      <c r="G36" s="375">
        <v>27787.63</v>
      </c>
      <c r="H36" s="375">
        <v>28522.93</v>
      </c>
      <c r="I36" s="453">
        <f>(F36+G36+H36)*60%</f>
        <v>107145.66599999998</v>
      </c>
      <c r="J36" s="453">
        <f t="shared" si="9"/>
        <v>285721.77599999995</v>
      </c>
      <c r="K36" s="375">
        <f t="shared" si="10"/>
        <v>3428661.3119999995</v>
      </c>
      <c r="X36" s="455"/>
      <c r="AD36" s="455">
        <f>J35+J36</f>
        <v>346339.27999999997</v>
      </c>
    </row>
    <row r="37" spans="1:32" ht="29.25" customHeight="1">
      <c r="A37" s="1413"/>
      <c r="B37" s="834" t="s">
        <v>147</v>
      </c>
      <c r="C37" s="835" t="s">
        <v>34</v>
      </c>
      <c r="D37" s="785">
        <v>2.75</v>
      </c>
      <c r="E37" s="377">
        <v>6255</v>
      </c>
      <c r="F37" s="377">
        <v>19781.439999999999</v>
      </c>
      <c r="G37" s="377">
        <v>4300.32</v>
      </c>
      <c r="H37" s="377">
        <v>5394.94</v>
      </c>
      <c r="I37" s="392">
        <f t="shared" ref="I37:I42" si="11">(F37+G37+H37)*60%</f>
        <v>17686.019999999997</v>
      </c>
      <c r="J37" s="392">
        <f t="shared" si="9"/>
        <v>47162.719999999994</v>
      </c>
      <c r="K37" s="375">
        <f t="shared" si="10"/>
        <v>565952.6399999999</v>
      </c>
      <c r="L37" s="455"/>
      <c r="X37" s="455"/>
    </row>
    <row r="38" spans="1:32" ht="29.25" hidden="1" customHeight="1">
      <c r="A38" s="1413"/>
      <c r="B38" s="834" t="s">
        <v>147</v>
      </c>
      <c r="C38" s="835" t="s">
        <v>34</v>
      </c>
      <c r="D38" s="786"/>
      <c r="E38" s="377"/>
      <c r="F38" s="377"/>
      <c r="G38" s="377"/>
      <c r="H38" s="377"/>
      <c r="I38" s="392">
        <f>(F38+G38+H38)*60%</f>
        <v>0</v>
      </c>
      <c r="J38" s="392">
        <f t="shared" si="9"/>
        <v>0</v>
      </c>
      <c r="K38" s="375">
        <f t="shared" si="10"/>
        <v>0</v>
      </c>
      <c r="L38" s="455"/>
      <c r="X38" s="455"/>
    </row>
    <row r="39" spans="1:32" ht="33.75" customHeight="1">
      <c r="A39" s="1414"/>
      <c r="B39" s="834" t="s">
        <v>44</v>
      </c>
      <c r="C39" s="835" t="s">
        <v>42</v>
      </c>
      <c r="D39" s="521">
        <v>1.5</v>
      </c>
      <c r="E39" s="377">
        <v>6255</v>
      </c>
      <c r="F39" s="377">
        <v>10789.88</v>
      </c>
      <c r="G39" s="377">
        <v>2345.63</v>
      </c>
      <c r="H39" s="377">
        <v>1407.38</v>
      </c>
      <c r="I39" s="377">
        <f t="shared" si="11"/>
        <v>8725.7339999999986</v>
      </c>
      <c r="J39" s="377">
        <f t="shared" si="9"/>
        <v>23268.623999999996</v>
      </c>
      <c r="K39" s="375">
        <f t="shared" si="10"/>
        <v>279223.48799999995</v>
      </c>
    </row>
    <row r="40" spans="1:32" ht="19.5" customHeight="1">
      <c r="A40" s="1414"/>
      <c r="B40" s="834" t="s">
        <v>175</v>
      </c>
      <c r="C40" s="835" t="s">
        <v>29</v>
      </c>
      <c r="D40" s="393">
        <v>1</v>
      </c>
      <c r="E40" s="377">
        <v>8168</v>
      </c>
      <c r="F40" s="377">
        <v>8168</v>
      </c>
      <c r="G40" s="377">
        <v>2042</v>
      </c>
      <c r="H40" s="377">
        <v>1225.2</v>
      </c>
      <c r="I40" s="377">
        <f t="shared" si="11"/>
        <v>6861.12</v>
      </c>
      <c r="J40" s="377">
        <f t="shared" si="9"/>
        <v>18296.32</v>
      </c>
      <c r="K40" s="375">
        <f t="shared" si="10"/>
        <v>219555.84</v>
      </c>
    </row>
    <row r="41" spans="1:32" ht="23.25" customHeight="1">
      <c r="A41" s="1414"/>
      <c r="B41" s="834" t="s">
        <v>176</v>
      </c>
      <c r="C41" s="835" t="s">
        <v>29</v>
      </c>
      <c r="D41" s="469">
        <v>1</v>
      </c>
      <c r="E41" s="371">
        <v>8942</v>
      </c>
      <c r="F41" s="371">
        <v>8942</v>
      </c>
      <c r="G41" s="371">
        <v>2235.5</v>
      </c>
      <c r="H41" s="371">
        <v>1341.3</v>
      </c>
      <c r="I41" s="377">
        <f t="shared" si="11"/>
        <v>7511.2799999999988</v>
      </c>
      <c r="J41" s="377">
        <f t="shared" si="9"/>
        <v>20030.079999999998</v>
      </c>
      <c r="K41" s="375">
        <f t="shared" si="10"/>
        <v>240360.95999999996</v>
      </c>
    </row>
    <row r="42" spans="1:32" ht="18.75" customHeight="1">
      <c r="A42" s="1414"/>
      <c r="B42" s="834" t="s">
        <v>40</v>
      </c>
      <c r="C42" s="835" t="s">
        <v>34</v>
      </c>
      <c r="D42" s="470">
        <v>1</v>
      </c>
      <c r="E42" s="371">
        <v>8942</v>
      </c>
      <c r="F42" s="371">
        <v>10283.299999999999</v>
      </c>
      <c r="G42" s="371">
        <v>4023.9</v>
      </c>
      <c r="H42" s="371">
        <v>1341.3</v>
      </c>
      <c r="I42" s="371">
        <f t="shared" si="11"/>
        <v>9389.0999999999985</v>
      </c>
      <c r="J42" s="371">
        <f t="shared" si="9"/>
        <v>25037.599999999999</v>
      </c>
      <c r="K42" s="375">
        <f t="shared" si="10"/>
        <v>300451.19999999995</v>
      </c>
    </row>
    <row r="43" spans="1:32" ht="25.5" customHeight="1" thickBot="1">
      <c r="A43" s="1414"/>
      <c r="B43" s="834" t="s">
        <v>178</v>
      </c>
      <c r="C43" s="835" t="s">
        <v>36</v>
      </c>
      <c r="D43" s="469">
        <v>1</v>
      </c>
      <c r="E43" s="371">
        <v>8942</v>
      </c>
      <c r="F43" s="371">
        <v>10283.299999999999</v>
      </c>
      <c r="G43" s="371">
        <v>2235.5</v>
      </c>
      <c r="H43" s="371">
        <v>447.1</v>
      </c>
      <c r="I43" s="371">
        <f>(F43+G43+H43)*60%</f>
        <v>7779.5399999999991</v>
      </c>
      <c r="J43" s="371">
        <f t="shared" si="9"/>
        <v>20745.439999999999</v>
      </c>
      <c r="K43" s="375">
        <f t="shared" si="10"/>
        <v>248945.27999999997</v>
      </c>
    </row>
    <row r="44" spans="1:32" ht="37.5" hidden="1" customHeight="1" thickBot="1">
      <c r="A44" s="1415"/>
      <c r="B44" s="834" t="s">
        <v>177</v>
      </c>
      <c r="C44" s="835" t="s">
        <v>42</v>
      </c>
      <c r="D44" s="469"/>
      <c r="E44" s="787"/>
      <c r="F44" s="471"/>
      <c r="G44" s="471"/>
      <c r="H44" s="471"/>
      <c r="I44" s="471">
        <f>(F44+G44+H44)*60%</f>
        <v>0</v>
      </c>
      <c r="J44" s="471">
        <f t="shared" si="9"/>
        <v>0</v>
      </c>
      <c r="K44" s="468">
        <f t="shared" ref="K44" si="12">J44*7</f>
        <v>0</v>
      </c>
    </row>
    <row r="45" spans="1:32" ht="24" customHeight="1" thickBot="1">
      <c r="A45" s="472"/>
      <c r="B45" s="456"/>
      <c r="C45" s="473"/>
      <c r="D45" s="474">
        <f t="shared" ref="D45:K45" si="13">SUM(D35:D44)</f>
        <v>26.85</v>
      </c>
      <c r="E45" s="474">
        <f t="shared" si="13"/>
        <v>62843</v>
      </c>
      <c r="F45" s="474">
        <f t="shared" si="13"/>
        <v>217296.09</v>
      </c>
      <c r="G45" s="474">
        <f t="shared" si="13"/>
        <v>51502.78</v>
      </c>
      <c r="H45" s="474">
        <f t="shared" si="13"/>
        <v>44251.17</v>
      </c>
      <c r="I45" s="474">
        <f t="shared" si="13"/>
        <v>187830.02399999998</v>
      </c>
      <c r="J45" s="474">
        <f t="shared" si="13"/>
        <v>500880.06399999995</v>
      </c>
      <c r="K45" s="475">
        <f t="shared" si="13"/>
        <v>6010560.7679999992</v>
      </c>
      <c r="L45" s="455"/>
      <c r="N45" s="476">
        <v>11162822.140000001</v>
      </c>
      <c r="Z45" s="476"/>
    </row>
    <row r="46" spans="1:32" ht="24.75" customHeight="1">
      <c r="A46" s="477"/>
      <c r="B46" s="841" t="s">
        <v>172</v>
      </c>
      <c r="C46" s="837"/>
      <c r="D46" s="480"/>
      <c r="E46" s="480"/>
      <c r="F46" s="480"/>
      <c r="G46" s="480"/>
      <c r="H46" s="480"/>
      <c r="I46" s="480"/>
      <c r="J46" s="481">
        <v>77391.97</v>
      </c>
      <c r="K46" s="375">
        <f t="shared" ref="K46:K47" si="14">J46*12</f>
        <v>928703.64</v>
      </c>
      <c r="L46" s="455"/>
    </row>
    <row r="47" spans="1:32" ht="35.25" customHeight="1" thickBot="1">
      <c r="A47" s="482"/>
      <c r="B47" s="842" t="s">
        <v>171</v>
      </c>
      <c r="C47" s="483"/>
      <c r="D47" s="484"/>
      <c r="E47" s="387"/>
      <c r="F47" s="387"/>
      <c r="G47" s="387"/>
      <c r="H47" s="387"/>
      <c r="I47" s="387"/>
      <c r="J47" s="485">
        <v>529971.48</v>
      </c>
      <c r="K47" s="375">
        <f t="shared" si="14"/>
        <v>6359657.7599999998</v>
      </c>
      <c r="L47" s="461"/>
      <c r="N47" s="705">
        <f>N45-K48</f>
        <v>-2136100.0279999971</v>
      </c>
      <c r="O47" s="476"/>
      <c r="Y47" s="476"/>
    </row>
    <row r="48" spans="1:32" ht="39" thickBot="1">
      <c r="A48" s="486"/>
      <c r="B48" s="838" t="s">
        <v>148</v>
      </c>
      <c r="C48" s="473"/>
      <c r="D48" s="488">
        <f>D45+D46+D47</f>
        <v>26.85</v>
      </c>
      <c r="E48" s="488">
        <f t="shared" ref="E48:I48" si="15">E45+E46+E47</f>
        <v>62843</v>
      </c>
      <c r="F48" s="488">
        <f t="shared" si="15"/>
        <v>217296.09</v>
      </c>
      <c r="G48" s="488">
        <f t="shared" si="15"/>
        <v>51502.78</v>
      </c>
      <c r="H48" s="488">
        <f t="shared" si="15"/>
        <v>44251.17</v>
      </c>
      <c r="I48" s="488">
        <f t="shared" si="15"/>
        <v>187830.02399999998</v>
      </c>
      <c r="J48" s="488">
        <f>J45+J46+J47</f>
        <v>1108243.514</v>
      </c>
      <c r="K48" s="489">
        <f>K45+K46+K47</f>
        <v>13298922.167999998</v>
      </c>
      <c r="M48" s="461"/>
      <c r="AD48" s="461">
        <f>K48+'проточ ссап'!K48</f>
        <v>13668591.071999997</v>
      </c>
      <c r="AE48" s="476">
        <f>(K48-K46)/6</f>
        <v>2061703.0879999995</v>
      </c>
      <c r="AF48" s="705">
        <f>AE48*12</f>
        <v>24740437.055999994</v>
      </c>
    </row>
    <row r="49" spans="1:33" ht="26.25" customHeight="1">
      <c r="A49" s="1416" t="s">
        <v>81</v>
      </c>
      <c r="B49" s="841"/>
      <c r="C49" s="1300" t="s">
        <v>80</v>
      </c>
      <c r="D49" s="1301"/>
      <c r="E49" s="1301"/>
      <c r="F49" s="1301"/>
      <c r="G49" s="1301"/>
      <c r="H49" s="1301"/>
      <c r="I49" s="1301"/>
      <c r="J49" s="1301"/>
      <c r="K49" s="1301"/>
      <c r="L49" s="455"/>
      <c r="M49" s="455"/>
      <c r="N49" s="455"/>
    </row>
    <row r="50" spans="1:33" ht="24" customHeight="1">
      <c r="A50" s="1302"/>
      <c r="B50" s="834" t="s">
        <v>95</v>
      </c>
      <c r="C50" s="1303" t="s">
        <v>83</v>
      </c>
      <c r="D50" s="380">
        <v>1</v>
      </c>
      <c r="E50" s="885">
        <v>5109</v>
      </c>
      <c r="F50" s="490">
        <f>D50*E50</f>
        <v>5109</v>
      </c>
      <c r="G50" s="490">
        <v>1634.88</v>
      </c>
      <c r="H50" s="490">
        <v>1277.25</v>
      </c>
      <c r="I50" s="491">
        <f>(F50+G50+H50)*60%</f>
        <v>4812.6779999999999</v>
      </c>
      <c r="J50" s="491">
        <f t="shared" ref="J50:J60" si="16">F50+G50+H50+I50</f>
        <v>12833.808000000001</v>
      </c>
      <c r="K50" s="375">
        <f t="shared" ref="K50:K60" si="17">J50*12</f>
        <v>154005.696</v>
      </c>
    </row>
    <row r="51" spans="1:33" ht="24" customHeight="1">
      <c r="A51" s="1302"/>
      <c r="B51" s="834" t="s">
        <v>93</v>
      </c>
      <c r="C51" s="1294"/>
      <c r="D51" s="835">
        <v>3</v>
      </c>
      <c r="E51" s="725">
        <v>3275</v>
      </c>
      <c r="F51" s="490">
        <f>D51*E51</f>
        <v>9825</v>
      </c>
      <c r="G51" s="468">
        <v>1179</v>
      </c>
      <c r="H51" s="493">
        <v>1146.25</v>
      </c>
      <c r="I51" s="491">
        <f>(F51+G51+H51)*60%</f>
        <v>7290.15</v>
      </c>
      <c r="J51" s="491">
        <f t="shared" si="16"/>
        <v>19440.400000000001</v>
      </c>
      <c r="K51" s="375">
        <f t="shared" si="17"/>
        <v>233284.80000000002</v>
      </c>
      <c r="L51" s="455"/>
      <c r="M51" s="455"/>
      <c r="N51" s="455"/>
    </row>
    <row r="52" spans="1:33" ht="27" customHeight="1">
      <c r="A52" s="1302"/>
      <c r="B52" s="834" t="s">
        <v>93</v>
      </c>
      <c r="C52" s="1294"/>
      <c r="D52" s="373">
        <v>1</v>
      </c>
      <c r="E52" s="886">
        <v>3813</v>
      </c>
      <c r="F52" s="490">
        <f>D52*E52</f>
        <v>3813</v>
      </c>
      <c r="G52" s="493">
        <f>F52*12%</f>
        <v>457.56</v>
      </c>
      <c r="H52" s="493">
        <v>953.25</v>
      </c>
      <c r="I52" s="491">
        <f>(F52+G52+H52)*60%</f>
        <v>3134.2860000000001</v>
      </c>
      <c r="J52" s="494">
        <f t="shared" si="16"/>
        <v>8358.0960000000014</v>
      </c>
      <c r="K52" s="375">
        <f t="shared" si="17"/>
        <v>100297.15200000002</v>
      </c>
    </row>
    <row r="53" spans="1:33" ht="46.5" customHeight="1">
      <c r="A53" s="1302"/>
      <c r="B53" s="834" t="s">
        <v>186</v>
      </c>
      <c r="C53" s="1294"/>
      <c r="D53" s="709">
        <v>2</v>
      </c>
      <c r="E53" s="725">
        <v>3275</v>
      </c>
      <c r="F53" s="490">
        <f>D53*E53</f>
        <v>6550</v>
      </c>
      <c r="G53" s="468"/>
      <c r="H53" s="468">
        <v>491.25</v>
      </c>
      <c r="I53" s="491">
        <f>(F53+G53+H53)*60%</f>
        <v>4224.75</v>
      </c>
      <c r="J53" s="494">
        <f t="shared" si="16"/>
        <v>11266</v>
      </c>
      <c r="K53" s="375">
        <f t="shared" si="17"/>
        <v>135192</v>
      </c>
      <c r="L53" s="455"/>
      <c r="M53" s="455"/>
      <c r="N53" s="455"/>
    </row>
    <row r="54" spans="1:33" ht="25.5" customHeight="1">
      <c r="A54" s="1302"/>
      <c r="B54" s="834" t="s">
        <v>87</v>
      </c>
      <c r="C54" s="1294"/>
      <c r="D54" s="835">
        <v>1</v>
      </c>
      <c r="E54" s="400">
        <v>3275</v>
      </c>
      <c r="F54" s="370">
        <f t="shared" ref="F54:F60" si="18">D54*E54</f>
        <v>3275</v>
      </c>
      <c r="G54" s="395"/>
      <c r="H54" s="395">
        <v>491.25</v>
      </c>
      <c r="I54" s="495">
        <f t="shared" ref="I54:I60" si="19">(F54+G54+H54)*60%</f>
        <v>2259.75</v>
      </c>
      <c r="J54" s="495">
        <f t="shared" si="16"/>
        <v>6026</v>
      </c>
      <c r="K54" s="375">
        <f t="shared" si="17"/>
        <v>72312</v>
      </c>
    </row>
    <row r="55" spans="1:33" ht="28.5" customHeight="1">
      <c r="A55" s="1302"/>
      <c r="B55" s="834" t="s">
        <v>179</v>
      </c>
      <c r="C55" s="1294"/>
      <c r="D55" s="389">
        <v>2</v>
      </c>
      <c r="E55" s="887">
        <v>3275</v>
      </c>
      <c r="F55" s="370">
        <f t="shared" si="18"/>
        <v>6550</v>
      </c>
      <c r="G55" s="395">
        <v>393</v>
      </c>
      <c r="H55" s="395">
        <v>1310</v>
      </c>
      <c r="I55" s="495">
        <f t="shared" si="19"/>
        <v>4951.8</v>
      </c>
      <c r="J55" s="495">
        <f t="shared" si="16"/>
        <v>13204.8</v>
      </c>
      <c r="K55" s="375">
        <f t="shared" si="17"/>
        <v>158457.59999999998</v>
      </c>
      <c r="L55" s="455"/>
      <c r="M55" s="455"/>
      <c r="N55" s="455"/>
      <c r="AG55" s="455"/>
    </row>
    <row r="56" spans="1:33" ht="32.25" customHeight="1">
      <c r="A56" s="1302"/>
      <c r="B56" s="834" t="s">
        <v>180</v>
      </c>
      <c r="C56" s="1294"/>
      <c r="D56" s="373">
        <v>1</v>
      </c>
      <c r="E56" s="722">
        <v>3275</v>
      </c>
      <c r="F56" s="370">
        <f t="shared" si="18"/>
        <v>3275</v>
      </c>
      <c r="G56" s="395"/>
      <c r="H56" s="395">
        <v>491.25</v>
      </c>
      <c r="I56" s="495">
        <f t="shared" si="19"/>
        <v>2259.75</v>
      </c>
      <c r="J56" s="495">
        <f t="shared" si="16"/>
        <v>6026</v>
      </c>
      <c r="K56" s="375">
        <f t="shared" si="17"/>
        <v>72312</v>
      </c>
      <c r="AG56" s="455"/>
    </row>
    <row r="57" spans="1:33" ht="25.5">
      <c r="A57" s="1302"/>
      <c r="B57" s="834" t="s">
        <v>85</v>
      </c>
      <c r="C57" s="1294"/>
      <c r="D57" s="373">
        <v>2</v>
      </c>
      <c r="E57" s="716">
        <v>3275</v>
      </c>
      <c r="F57" s="370">
        <f t="shared" si="18"/>
        <v>6550</v>
      </c>
      <c r="G57" s="375"/>
      <c r="H57" s="375">
        <v>491.25</v>
      </c>
      <c r="I57" s="494">
        <f t="shared" si="19"/>
        <v>4224.75</v>
      </c>
      <c r="J57" s="494">
        <f t="shared" si="16"/>
        <v>11266</v>
      </c>
      <c r="K57" s="375">
        <f t="shared" si="17"/>
        <v>135192</v>
      </c>
      <c r="L57" s="455"/>
      <c r="M57" s="455"/>
      <c r="N57" s="455"/>
      <c r="AG57" s="455"/>
    </row>
    <row r="58" spans="1:33" ht="40.5" customHeight="1">
      <c r="A58" s="1302"/>
      <c r="B58" s="834" t="s">
        <v>181</v>
      </c>
      <c r="C58" s="1294"/>
      <c r="D58" s="389">
        <v>1</v>
      </c>
      <c r="E58" s="722">
        <v>3275</v>
      </c>
      <c r="F58" s="370">
        <f t="shared" si="18"/>
        <v>3275</v>
      </c>
      <c r="G58" s="395"/>
      <c r="H58" s="395">
        <v>163.75</v>
      </c>
      <c r="I58" s="495">
        <f t="shared" si="19"/>
        <v>2063.25</v>
      </c>
      <c r="J58" s="495">
        <f t="shared" si="16"/>
        <v>5502</v>
      </c>
      <c r="K58" s="375">
        <f t="shared" si="17"/>
        <v>66024</v>
      </c>
      <c r="L58" s="455"/>
      <c r="M58" s="455"/>
      <c r="N58" s="455"/>
      <c r="AG58" s="455"/>
    </row>
    <row r="59" spans="1:33" ht="24" customHeight="1">
      <c r="A59" s="1302"/>
      <c r="B59" s="834" t="s">
        <v>82</v>
      </c>
      <c r="C59" s="1294"/>
      <c r="D59" s="835">
        <v>6</v>
      </c>
      <c r="E59" s="722">
        <v>3275</v>
      </c>
      <c r="F59" s="370">
        <f t="shared" si="18"/>
        <v>19650</v>
      </c>
      <c r="G59" s="395">
        <f>F59/160*120*35%</f>
        <v>5158.125</v>
      </c>
      <c r="H59" s="395">
        <v>3275</v>
      </c>
      <c r="I59" s="494">
        <f t="shared" si="19"/>
        <v>16849.875</v>
      </c>
      <c r="J59" s="494">
        <f t="shared" si="16"/>
        <v>44933</v>
      </c>
      <c r="K59" s="375">
        <f t="shared" si="17"/>
        <v>539196</v>
      </c>
      <c r="L59" s="455"/>
      <c r="M59" s="455"/>
      <c r="N59" s="455"/>
      <c r="AG59" s="455"/>
    </row>
    <row r="60" spans="1:33" ht="24" customHeight="1" thickBot="1">
      <c r="A60" s="1302"/>
      <c r="B60" s="834" t="s">
        <v>88</v>
      </c>
      <c r="C60" s="835" t="s">
        <v>90</v>
      </c>
      <c r="D60" s="496">
        <v>2</v>
      </c>
      <c r="E60" s="497">
        <v>3275</v>
      </c>
      <c r="F60" s="498">
        <f t="shared" si="18"/>
        <v>6550</v>
      </c>
      <c r="G60" s="395"/>
      <c r="H60" s="395">
        <v>655</v>
      </c>
      <c r="I60" s="499">
        <f t="shared" si="19"/>
        <v>4323</v>
      </c>
      <c r="J60" s="499">
        <f t="shared" si="16"/>
        <v>11528</v>
      </c>
      <c r="K60" s="375">
        <f t="shared" si="17"/>
        <v>138336</v>
      </c>
      <c r="L60" s="455"/>
    </row>
    <row r="61" spans="1:33" ht="30.75" hidden="1" customHeight="1" thickBot="1">
      <c r="A61" s="1417"/>
      <c r="B61" s="842"/>
      <c r="C61" s="388"/>
      <c r="D61" s="388"/>
      <c r="E61" s="500"/>
      <c r="F61" s="382"/>
      <c r="G61" s="391"/>
      <c r="H61" s="391"/>
      <c r="I61" s="501"/>
      <c r="J61" s="501"/>
      <c r="K61" s="391">
        <f t="shared" ref="K61" si="20">J61*7</f>
        <v>0</v>
      </c>
    </row>
    <row r="62" spans="1:33" ht="22.5" customHeight="1" thickBot="1">
      <c r="A62" s="456"/>
      <c r="B62" s="502" t="s">
        <v>68</v>
      </c>
      <c r="C62" s="457"/>
      <c r="D62" s="463">
        <f>SUM(D50:D61)</f>
        <v>22</v>
      </c>
      <c r="E62" s="503">
        <f t="shared" ref="E62:I62" si="21">SUM(E50:E61)</f>
        <v>38397</v>
      </c>
      <c r="F62" s="463">
        <f t="shared" si="21"/>
        <v>74422</v>
      </c>
      <c r="G62" s="463">
        <f t="shared" si="21"/>
        <v>8822.5650000000005</v>
      </c>
      <c r="H62" s="463">
        <f t="shared" si="21"/>
        <v>10745.5</v>
      </c>
      <c r="I62" s="503">
        <f t="shared" si="21"/>
        <v>56394.039000000004</v>
      </c>
      <c r="J62" s="463">
        <f>SUM(J50:J61)</f>
        <v>150384.10399999999</v>
      </c>
      <c r="K62" s="504">
        <f>SUM(K50:K61)</f>
        <v>1804609.2480000001</v>
      </c>
    </row>
    <row r="63" spans="1:33" ht="18" customHeight="1">
      <c r="A63" s="840"/>
      <c r="B63" s="506" t="s">
        <v>56</v>
      </c>
      <c r="C63" s="839"/>
      <c r="D63" s="507"/>
      <c r="E63" s="508"/>
      <c r="F63" s="508"/>
      <c r="G63" s="508"/>
      <c r="H63" s="508"/>
      <c r="I63" s="508"/>
      <c r="J63" s="508">
        <f>J62*15%</f>
        <v>22557.615599999997</v>
      </c>
      <c r="K63" s="375">
        <f t="shared" ref="K63:K65" si="22">J63*12</f>
        <v>270691.3872</v>
      </c>
      <c r="AG63" s="455"/>
    </row>
    <row r="64" spans="1:33" ht="51">
      <c r="A64" s="834" t="s">
        <v>349</v>
      </c>
      <c r="B64" s="509" t="s">
        <v>78</v>
      </c>
      <c r="C64" s="835"/>
      <c r="D64" s="510"/>
      <c r="E64" s="511"/>
      <c r="F64" s="511"/>
      <c r="G64" s="511"/>
      <c r="H64" s="511"/>
      <c r="I64" s="511"/>
      <c r="J64" s="389">
        <f>364892.28</f>
        <v>364892.28</v>
      </c>
      <c r="K64" s="375">
        <f t="shared" si="22"/>
        <v>4378707.3600000003</v>
      </c>
      <c r="AB64" s="461">
        <f>J62+J63+J64</f>
        <v>537833.99959999998</v>
      </c>
      <c r="AC64" s="364">
        <f>AB64/22</f>
        <v>24446.999981818182</v>
      </c>
    </row>
    <row r="65" spans="1:31" ht="39.75" customHeight="1">
      <c r="A65" s="834"/>
      <c r="B65" s="841" t="s">
        <v>172</v>
      </c>
      <c r="C65" s="835"/>
      <c r="D65" s="510"/>
      <c r="E65" s="511"/>
      <c r="F65" s="511"/>
      <c r="G65" s="511"/>
      <c r="H65" s="511"/>
      <c r="I65" s="511"/>
      <c r="J65" s="389"/>
      <c r="K65" s="375">
        <f t="shared" si="22"/>
        <v>0</v>
      </c>
    </row>
    <row r="66" spans="1:31" ht="13.5" thickBot="1">
      <c r="A66" s="788"/>
      <c r="B66" s="703" t="s">
        <v>103</v>
      </c>
      <c r="C66" s="789"/>
      <c r="D66" s="704">
        <f>D62+D63+D64+D65</f>
        <v>22</v>
      </c>
      <c r="E66" s="704">
        <f>E62+E63+E64+E65</f>
        <v>38397</v>
      </c>
      <c r="F66" s="704">
        <f t="shared" ref="F66:K66" si="23">F62+F63+F64+F65</f>
        <v>74422</v>
      </c>
      <c r="G66" s="704">
        <f t="shared" si="23"/>
        <v>8822.5650000000005</v>
      </c>
      <c r="H66" s="704">
        <f t="shared" si="23"/>
        <v>10745.5</v>
      </c>
      <c r="I66" s="704">
        <f t="shared" si="23"/>
        <v>56394.039000000004</v>
      </c>
      <c r="J66" s="704">
        <f>J62+J63+J64+J65</f>
        <v>537833.99959999998</v>
      </c>
      <c r="K66" s="704">
        <f t="shared" si="23"/>
        <v>6454007.9952000007</v>
      </c>
      <c r="O66" s="476">
        <v>5326448.6399999997</v>
      </c>
      <c r="Q66" s="705">
        <f>O66-K66</f>
        <v>-1127559.355200001</v>
      </c>
      <c r="AD66" s="461">
        <f>K66+'проточ ссап'!K66</f>
        <v>7370770.4928000011</v>
      </c>
      <c r="AE66" s="461">
        <f>K66+'проточ ссап'!K66</f>
        <v>7370770.4928000011</v>
      </c>
    </row>
    <row r="67" spans="1:31" ht="37.5" customHeight="1" thickBot="1">
      <c r="B67" s="515" t="s">
        <v>149</v>
      </c>
      <c r="C67" s="516"/>
      <c r="D67" s="517">
        <f>D33+D48+D66</f>
        <v>68.849999999999994</v>
      </c>
      <c r="E67" s="517">
        <f t="shared" ref="E67:K67" si="24">E33+E48+E66</f>
        <v>168116</v>
      </c>
      <c r="F67" s="517">
        <f t="shared" si="24"/>
        <v>414559.08999999997</v>
      </c>
      <c r="G67" s="517">
        <f t="shared" si="24"/>
        <v>84395.595000000001</v>
      </c>
      <c r="H67" s="517">
        <f t="shared" si="24"/>
        <v>78240.17</v>
      </c>
      <c r="I67" s="517">
        <f t="shared" si="24"/>
        <v>346316.91299999994</v>
      </c>
      <c r="J67" s="517">
        <f t="shared" si="24"/>
        <v>2193993.6336000003</v>
      </c>
      <c r="K67" s="517">
        <f t="shared" si="24"/>
        <v>26327923.6032</v>
      </c>
      <c r="R67" s="705">
        <f>K66-O66</f>
        <v>1127559.355200001</v>
      </c>
    </row>
    <row r="69" spans="1:31">
      <c r="B69" s="518" t="s">
        <v>99</v>
      </c>
      <c r="H69" s="518" t="s">
        <v>127</v>
      </c>
      <c r="K69" s="519"/>
    </row>
    <row r="70" spans="1:31">
      <c r="J70" s="520"/>
    </row>
    <row r="71" spans="1:31">
      <c r="D71" s="461"/>
    </row>
    <row r="72" spans="1:31" ht="28.5" customHeight="1">
      <c r="A72" s="1304" t="s">
        <v>151</v>
      </c>
      <c r="B72" s="1305"/>
      <c r="C72" s="1305"/>
      <c r="D72" s="469">
        <f>D33</f>
        <v>20</v>
      </c>
      <c r="E72" s="469">
        <f t="shared" ref="E72:K72" si="25">E33</f>
        <v>66876</v>
      </c>
      <c r="F72" s="469">
        <f t="shared" si="25"/>
        <v>122841</v>
      </c>
      <c r="G72" s="469">
        <f t="shared" si="25"/>
        <v>24070.25</v>
      </c>
      <c r="H72" s="469">
        <f t="shared" si="25"/>
        <v>23243.5</v>
      </c>
      <c r="I72" s="469">
        <f t="shared" si="25"/>
        <v>102092.84999999999</v>
      </c>
      <c r="J72" s="469">
        <f t="shared" si="25"/>
        <v>547916.12</v>
      </c>
      <c r="K72" s="469">
        <f t="shared" si="25"/>
        <v>6574993.4400000004</v>
      </c>
      <c r="Z72" s="476"/>
      <c r="AA72" s="476"/>
      <c r="AB72" s="455"/>
      <c r="AC72" s="476"/>
    </row>
    <row r="73" spans="1:31" ht="30" customHeight="1">
      <c r="A73" s="1348" t="s">
        <v>153</v>
      </c>
      <c r="B73" s="1411"/>
      <c r="C73" s="521"/>
      <c r="D73" s="469">
        <f>D48</f>
        <v>26.85</v>
      </c>
      <c r="E73" s="469">
        <f t="shared" ref="E73:K73" si="26">E48</f>
        <v>62843</v>
      </c>
      <c r="F73" s="469">
        <f t="shared" si="26"/>
        <v>217296.09</v>
      </c>
      <c r="G73" s="469">
        <f t="shared" si="26"/>
        <v>51502.78</v>
      </c>
      <c r="H73" s="469">
        <f t="shared" si="26"/>
        <v>44251.17</v>
      </c>
      <c r="I73" s="469">
        <f t="shared" si="26"/>
        <v>187830.02399999998</v>
      </c>
      <c r="J73" s="469">
        <f t="shared" si="26"/>
        <v>1108243.514</v>
      </c>
      <c r="K73" s="469">
        <f t="shared" si="26"/>
        <v>13298922.167999998</v>
      </c>
      <c r="P73" s="476"/>
    </row>
    <row r="74" spans="1:31" ht="25.5" customHeight="1">
      <c r="A74" s="1293" t="s">
        <v>152</v>
      </c>
      <c r="B74" s="1294"/>
      <c r="C74" s="1294"/>
      <c r="D74" s="522">
        <f>D66</f>
        <v>22</v>
      </c>
      <c r="E74" s="522">
        <f t="shared" ref="E74:K74" si="27">E66</f>
        <v>38397</v>
      </c>
      <c r="F74" s="522">
        <f t="shared" si="27"/>
        <v>74422</v>
      </c>
      <c r="G74" s="522">
        <f t="shared" si="27"/>
        <v>8822.5650000000005</v>
      </c>
      <c r="H74" s="522">
        <f t="shared" si="27"/>
        <v>10745.5</v>
      </c>
      <c r="I74" s="522">
        <f t="shared" si="27"/>
        <v>56394.039000000004</v>
      </c>
      <c r="J74" s="522">
        <f t="shared" si="27"/>
        <v>537833.99959999998</v>
      </c>
      <c r="K74" s="522">
        <f t="shared" si="27"/>
        <v>6454007.9952000007</v>
      </c>
    </row>
    <row r="75" spans="1:31">
      <c r="D75" s="461">
        <f>SUM(D72:D74)</f>
        <v>68.849999999999994</v>
      </c>
      <c r="E75" s="461">
        <f t="shared" ref="E75:J75" si="28">SUM(E72:E74)</f>
        <v>168116</v>
      </c>
      <c r="F75" s="461">
        <f t="shared" si="28"/>
        <v>414559.08999999997</v>
      </c>
      <c r="G75" s="461">
        <f t="shared" si="28"/>
        <v>84395.595000000001</v>
      </c>
      <c r="H75" s="461">
        <f t="shared" si="28"/>
        <v>78240.17</v>
      </c>
      <c r="I75" s="461">
        <f t="shared" si="28"/>
        <v>346316.91299999994</v>
      </c>
      <c r="J75" s="461">
        <f t="shared" si="28"/>
        <v>2193993.6336000003</v>
      </c>
      <c r="K75" s="461">
        <f>SUM(K71:K74)</f>
        <v>26327923.6032</v>
      </c>
    </row>
    <row r="76" spans="1:31">
      <c r="J76" s="461"/>
    </row>
    <row r="77" spans="1:31">
      <c r="J77" s="461"/>
    </row>
    <row r="78" spans="1:31">
      <c r="A78" s="364" t="s">
        <v>205</v>
      </c>
      <c r="J78" s="461"/>
    </row>
    <row r="80" spans="1:31">
      <c r="J80" s="461"/>
    </row>
    <row r="81" spans="4:4">
      <c r="D81" s="461" t="e">
        <f>#REF!+#REF!+#REF!+#REF!+#REF!+#REF!+#REF!+'ар 01.09'!D170</f>
        <v>#REF!</v>
      </c>
    </row>
  </sheetData>
  <mergeCells count="30">
    <mergeCell ref="A72:C72"/>
    <mergeCell ref="A73:B73"/>
    <mergeCell ref="A74:C74"/>
    <mergeCell ref="A34:A44"/>
    <mergeCell ref="A49:A61"/>
    <mergeCell ref="C49:K49"/>
    <mergeCell ref="C50:C59"/>
    <mergeCell ref="B18:K18"/>
    <mergeCell ref="A19:A33"/>
    <mergeCell ref="B34:K34"/>
    <mergeCell ref="G16:H16"/>
    <mergeCell ref="I16:I17"/>
    <mergeCell ref="J16:J17"/>
    <mergeCell ref="K16:K17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A7:K7"/>
    <mergeCell ref="I1:K1"/>
    <mergeCell ref="BS1:CJ1"/>
    <mergeCell ref="BU4:CJ4"/>
    <mergeCell ref="BU5:CJ5"/>
    <mergeCell ref="A6:K6"/>
  </mergeCells>
  <pageMargins left="0.55118110236220474" right="0.55118110236220474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J81"/>
  <sheetViews>
    <sheetView topLeftCell="A20" workbookViewId="0">
      <selection activeCell="B23" sqref="B23"/>
    </sheetView>
  </sheetViews>
  <sheetFormatPr defaultRowHeight="12.75"/>
  <cols>
    <col min="1" max="1" width="19.7109375" style="364" customWidth="1"/>
    <col min="2" max="2" width="22" style="364" customWidth="1"/>
    <col min="3" max="3" width="6.42578125" style="364" hidden="1" customWidth="1"/>
    <col min="4" max="4" width="7.28515625" style="364" customWidth="1"/>
    <col min="5" max="5" width="11.42578125" style="364" customWidth="1"/>
    <col min="6" max="6" width="12.140625" style="364" customWidth="1"/>
    <col min="7" max="7" width="10.5703125" style="364" customWidth="1"/>
    <col min="8" max="8" width="11.7109375" style="364" customWidth="1"/>
    <col min="9" max="9" width="13.28515625" style="364" customWidth="1"/>
    <col min="10" max="10" width="13.5703125" style="364" customWidth="1"/>
    <col min="11" max="11" width="14.7109375" style="364" customWidth="1"/>
    <col min="12" max="12" width="11.5703125" style="364" hidden="1" customWidth="1"/>
    <col min="13" max="13" width="13.28515625" style="364" hidden="1" customWidth="1"/>
    <col min="14" max="14" width="15" style="364" hidden="1" customWidth="1"/>
    <col min="15" max="15" width="13.7109375" style="364" hidden="1" customWidth="1"/>
    <col min="16" max="16" width="5.140625" style="364" hidden="1" customWidth="1"/>
    <col min="17" max="18" width="9.28515625" style="364" hidden="1" customWidth="1"/>
    <col min="19" max="19" width="13.42578125" style="364" hidden="1" customWidth="1"/>
    <col min="20" max="20" width="10.5703125" style="364" hidden="1" customWidth="1"/>
    <col min="21" max="21" width="14.5703125" style="364" hidden="1" customWidth="1"/>
    <col min="22" max="23" width="11.7109375" style="364" hidden="1" customWidth="1"/>
    <col min="24" max="24" width="13" style="364" hidden="1" customWidth="1"/>
    <col min="25" max="25" width="12.42578125" style="364" hidden="1" customWidth="1"/>
    <col min="26" max="26" width="17.7109375" style="364" hidden="1" customWidth="1"/>
    <col min="27" max="27" width="12.28515625" style="364" hidden="1" customWidth="1"/>
    <col min="28" max="28" width="16.7109375" style="364" hidden="1" customWidth="1"/>
    <col min="29" max="29" width="12.28515625" style="364" hidden="1" customWidth="1"/>
    <col min="30" max="30" width="12.7109375" style="364" hidden="1" customWidth="1"/>
    <col min="31" max="31" width="15.140625" style="364" hidden="1" customWidth="1"/>
    <col min="32" max="32" width="15.7109375" style="364" hidden="1" customWidth="1"/>
    <col min="33" max="33" width="15" style="364" hidden="1" customWidth="1"/>
    <col min="34" max="34" width="14" style="364" customWidth="1"/>
    <col min="35" max="35" width="11.28515625" style="364" customWidth="1"/>
    <col min="36" max="36" width="12.42578125" style="364" customWidth="1"/>
    <col min="37" max="37" width="9.140625" style="364" customWidth="1"/>
    <col min="38" max="38" width="12.28515625" style="364" customWidth="1"/>
    <col min="39" max="39" width="11.42578125" style="364" customWidth="1"/>
    <col min="40" max="40" width="12.7109375" style="364" customWidth="1"/>
    <col min="41" max="41" width="9.140625" style="364" customWidth="1"/>
    <col min="42" max="42" width="6.85546875" style="364" customWidth="1"/>
    <col min="43" max="43" width="4" style="364" customWidth="1"/>
    <col min="44" max="49" width="9.140625" style="364" customWidth="1"/>
    <col min="50" max="50" width="11.5703125" style="364" customWidth="1"/>
    <col min="51" max="53" width="9.140625" style="364" customWidth="1"/>
    <col min="54" max="54" width="7.28515625" style="364" customWidth="1"/>
    <col min="55" max="55" width="9.140625" style="364" customWidth="1"/>
    <col min="56" max="56" width="9.140625" style="364"/>
    <col min="57" max="57" width="12" style="364" customWidth="1"/>
    <col min="58" max="58" width="9.140625" style="364"/>
    <col min="59" max="67" width="9.140625" style="364" customWidth="1"/>
    <col min="68" max="68" width="11.5703125" style="364" customWidth="1"/>
    <col min="69" max="69" width="9.140625" style="364"/>
    <col min="70" max="70" width="11.7109375" style="364" customWidth="1"/>
    <col min="71" max="71" width="2.5703125" style="364" customWidth="1"/>
    <col min="72" max="72" width="13" style="364" customWidth="1"/>
    <col min="73" max="73" width="12.42578125" style="364" customWidth="1"/>
    <col min="74" max="74" width="5.140625" style="364" customWidth="1"/>
    <col min="75" max="88" width="9.140625" style="364" customWidth="1"/>
    <col min="89" max="16384" width="9.140625" style="364"/>
  </cols>
  <sheetData>
    <row r="1" spans="1:88" ht="47.25" customHeight="1">
      <c r="A1" s="363"/>
      <c r="B1" s="363"/>
      <c r="C1" s="363"/>
      <c r="D1" s="363"/>
      <c r="E1" s="363"/>
      <c r="F1" s="363"/>
      <c r="G1" s="363"/>
      <c r="H1" s="363"/>
      <c r="I1" s="1306" t="s">
        <v>0</v>
      </c>
      <c r="J1" s="1307"/>
      <c r="K1" s="1307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363"/>
      <c r="BK1" s="363"/>
      <c r="BL1" s="363"/>
      <c r="BM1" s="363"/>
      <c r="BN1" s="363"/>
      <c r="BO1" s="363"/>
      <c r="BP1" s="363"/>
      <c r="BQ1" s="363"/>
      <c r="BR1" s="363"/>
      <c r="BS1" s="1308"/>
      <c r="BT1" s="1308"/>
      <c r="BU1" s="1308"/>
      <c r="BV1" s="1308"/>
      <c r="BW1" s="1308"/>
      <c r="BX1" s="1308"/>
      <c r="BY1" s="1308"/>
      <c r="BZ1" s="1308"/>
      <c r="CA1" s="1308"/>
      <c r="CB1" s="1308"/>
      <c r="CC1" s="1308"/>
      <c r="CD1" s="1308"/>
      <c r="CE1" s="1308"/>
      <c r="CF1" s="1308"/>
      <c r="CG1" s="1308"/>
      <c r="CH1" s="1308"/>
      <c r="CI1" s="1308"/>
      <c r="CJ1" s="1308"/>
    </row>
    <row r="2" spans="1:88">
      <c r="F2" s="363" t="s">
        <v>2</v>
      </c>
      <c r="G2" s="363"/>
      <c r="H2" s="365" t="s">
        <v>1</v>
      </c>
    </row>
    <row r="3" spans="1:88">
      <c r="F3" s="363"/>
      <c r="G3" s="363"/>
      <c r="H3" s="365" t="s">
        <v>162</v>
      </c>
    </row>
    <row r="4" spans="1:88">
      <c r="A4" s="363"/>
      <c r="B4" s="363"/>
      <c r="C4" s="363"/>
      <c r="D4" s="363"/>
      <c r="E4" s="363"/>
      <c r="F4" s="363" t="s">
        <v>4</v>
      </c>
      <c r="G4" s="363"/>
      <c r="H4" s="365" t="s">
        <v>161</v>
      </c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1309"/>
      <c r="BV4" s="1309"/>
      <c r="BW4" s="1309"/>
      <c r="BX4" s="1309"/>
      <c r="BY4" s="1309"/>
      <c r="BZ4" s="1309"/>
      <c r="CA4" s="1309"/>
      <c r="CB4" s="1309"/>
      <c r="CC4" s="1309"/>
      <c r="CD4" s="1309"/>
      <c r="CE4" s="1309"/>
      <c r="CF4" s="1309"/>
      <c r="CG4" s="1309"/>
      <c r="CH4" s="1309"/>
      <c r="CI4" s="1309"/>
      <c r="CJ4" s="1309"/>
    </row>
    <row r="5" spans="1:88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1309"/>
      <c r="BV5" s="1309"/>
      <c r="BW5" s="1309"/>
      <c r="BX5" s="1309"/>
      <c r="BY5" s="1309"/>
      <c r="BZ5" s="1309"/>
      <c r="CA5" s="1309"/>
      <c r="CB5" s="1309"/>
      <c r="CC5" s="1309"/>
      <c r="CD5" s="1309"/>
      <c r="CE5" s="1309"/>
      <c r="CF5" s="1309"/>
      <c r="CG5" s="1309"/>
      <c r="CH5" s="1309"/>
      <c r="CI5" s="1309"/>
      <c r="CJ5" s="1309"/>
    </row>
    <row r="6" spans="1:88" ht="23.25" customHeight="1">
      <c r="A6" s="1350" t="s">
        <v>163</v>
      </c>
      <c r="B6" s="1351"/>
      <c r="C6" s="1351"/>
      <c r="D6" s="1351"/>
      <c r="E6" s="1351"/>
      <c r="F6" s="1351"/>
      <c r="G6" s="1351"/>
      <c r="H6" s="1351"/>
      <c r="I6" s="1351"/>
      <c r="J6" s="1351"/>
      <c r="K6" s="1351"/>
    </row>
    <row r="7" spans="1:88" ht="24" customHeight="1">
      <c r="A7" s="1409" t="s">
        <v>164</v>
      </c>
      <c r="B7" s="1410"/>
      <c r="C7" s="1410"/>
      <c r="D7" s="1410"/>
      <c r="E7" s="1410"/>
      <c r="F7" s="1410"/>
      <c r="G7" s="1410"/>
      <c r="H7" s="1410"/>
      <c r="I7" s="1410"/>
      <c r="J7" s="1410"/>
      <c r="K7" s="1410"/>
    </row>
    <row r="8" spans="1:88" ht="32.25" customHeight="1">
      <c r="A8" s="439"/>
      <c r="B8" s="439"/>
      <c r="C8" s="440"/>
      <c r="D8" s="440"/>
      <c r="E8" s="440"/>
      <c r="F8" s="440"/>
      <c r="G8" s="440"/>
      <c r="H8" s="439"/>
      <c r="J8" s="439"/>
      <c r="K8" s="439"/>
    </row>
    <row r="9" spans="1:88" ht="28.5" customHeight="1">
      <c r="A9" s="439"/>
      <c r="B9" s="439"/>
      <c r="C9" s="440"/>
      <c r="D9" s="440"/>
      <c r="E9" s="1312" t="s">
        <v>9</v>
      </c>
      <c r="F9" s="1312"/>
      <c r="G9" s="1312" t="s">
        <v>10</v>
      </c>
      <c r="H9" s="1312"/>
      <c r="I9" s="439"/>
      <c r="J9" s="439"/>
      <c r="K9" s="439"/>
    </row>
    <row r="10" spans="1:88" ht="26.25" customHeight="1">
      <c r="B10" s="441" t="s">
        <v>11</v>
      </c>
      <c r="C10" s="440"/>
      <c r="D10" s="440"/>
      <c r="E10" s="1312">
        <v>1</v>
      </c>
      <c r="F10" s="1312"/>
      <c r="G10" s="1313" t="s">
        <v>219</v>
      </c>
      <c r="H10" s="1312"/>
      <c r="I10" s="439" t="s">
        <v>12</v>
      </c>
      <c r="J10" s="439"/>
      <c r="K10" s="439"/>
    </row>
    <row r="11" spans="1:88">
      <c r="A11" s="439"/>
      <c r="B11" s="439"/>
      <c r="C11" s="440"/>
      <c r="D11" s="440"/>
      <c r="E11" s="440"/>
      <c r="F11" s="440"/>
      <c r="G11" s="440"/>
      <c r="H11" s="440"/>
      <c r="I11" s="440" t="s">
        <v>13</v>
      </c>
      <c r="J11" s="440"/>
      <c r="K11" s="440"/>
    </row>
    <row r="12" spans="1:88">
      <c r="A12" s="440"/>
      <c r="B12" s="442" t="s">
        <v>395</v>
      </c>
      <c r="C12" s="440"/>
      <c r="D12" s="440"/>
      <c r="E12" s="440"/>
      <c r="F12" s="440"/>
      <c r="G12" s="440"/>
      <c r="H12" s="440"/>
      <c r="I12" s="440" t="s">
        <v>14</v>
      </c>
      <c r="J12" s="443"/>
      <c r="K12" s="440"/>
    </row>
    <row r="13" spans="1:88">
      <c r="A13" s="440"/>
      <c r="B13" s="440"/>
      <c r="C13" s="440"/>
      <c r="D13" s="440"/>
      <c r="E13" s="440"/>
      <c r="F13" s="440"/>
      <c r="G13" s="440"/>
      <c r="H13" s="440"/>
      <c r="I13" s="440" t="s">
        <v>141</v>
      </c>
      <c r="J13" s="443">
        <f>J68</f>
        <v>2187291.8736</v>
      </c>
      <c r="K13" s="440"/>
    </row>
    <row r="14" spans="1:88" ht="21" customHeight="1">
      <c r="A14" s="440"/>
      <c r="B14" s="444" t="s">
        <v>174</v>
      </c>
      <c r="C14" s="440"/>
      <c r="D14" s="445">
        <v>195</v>
      </c>
      <c r="E14" s="439"/>
      <c r="F14" s="439"/>
      <c r="G14" s="439"/>
      <c r="H14" s="440"/>
      <c r="I14" s="440" t="s">
        <v>15</v>
      </c>
      <c r="J14" s="440"/>
      <c r="K14" s="446">
        <f>D68</f>
        <v>67.849999999999994</v>
      </c>
    </row>
    <row r="15" spans="1:88">
      <c r="B15" s="447" t="s">
        <v>173</v>
      </c>
      <c r="D15" s="448">
        <v>11</v>
      </c>
      <c r="E15" s="449"/>
      <c r="F15" s="449"/>
      <c r="G15" s="449"/>
      <c r="K15" s="450" t="s">
        <v>16</v>
      </c>
    </row>
    <row r="16" spans="1:88">
      <c r="A16" s="1312" t="s">
        <v>17</v>
      </c>
      <c r="B16" s="1312" t="s">
        <v>18</v>
      </c>
      <c r="C16" s="1312" t="s">
        <v>19</v>
      </c>
      <c r="D16" s="1312" t="s">
        <v>20</v>
      </c>
      <c r="E16" s="1312" t="s">
        <v>21</v>
      </c>
      <c r="F16" s="1312" t="s">
        <v>5</v>
      </c>
      <c r="G16" s="1312" t="s">
        <v>6</v>
      </c>
      <c r="H16" s="1312"/>
      <c r="I16" s="1312" t="s">
        <v>7</v>
      </c>
      <c r="J16" s="1312" t="s">
        <v>22</v>
      </c>
      <c r="K16" s="1312" t="s">
        <v>196</v>
      </c>
    </row>
    <row r="17" spans="1:31" ht="38.25">
      <c r="A17" s="1312"/>
      <c r="B17" s="1312"/>
      <c r="C17" s="1312"/>
      <c r="D17" s="1312"/>
      <c r="E17" s="1312"/>
      <c r="F17" s="1312"/>
      <c r="G17" s="1030" t="s">
        <v>24</v>
      </c>
      <c r="H17" s="1030" t="s">
        <v>25</v>
      </c>
      <c r="I17" s="1312"/>
      <c r="J17" s="1312"/>
      <c r="K17" s="1312"/>
    </row>
    <row r="18" spans="1:31">
      <c r="A18" s="452"/>
      <c r="B18" s="1295" t="s">
        <v>142</v>
      </c>
      <c r="C18" s="1296"/>
      <c r="D18" s="1296"/>
      <c r="E18" s="1296"/>
      <c r="F18" s="1296"/>
      <c r="G18" s="1296"/>
      <c r="H18" s="1296"/>
      <c r="I18" s="1296"/>
      <c r="J18" s="1296"/>
      <c r="K18" s="1296"/>
    </row>
    <row r="19" spans="1:31" ht="38.25">
      <c r="A19" s="1297" t="s">
        <v>188</v>
      </c>
      <c r="B19" s="1033" t="s">
        <v>165</v>
      </c>
      <c r="C19" s="1029"/>
      <c r="D19" s="380">
        <v>1</v>
      </c>
      <c r="E19" s="381">
        <v>19736</v>
      </c>
      <c r="F19" s="383">
        <f t="shared" ref="F19:F26" si="0">D19*E19</f>
        <v>19736</v>
      </c>
      <c r="G19" s="383">
        <f>F19*25%</f>
        <v>4934</v>
      </c>
      <c r="H19" s="383">
        <v>6907.6</v>
      </c>
      <c r="I19" s="453">
        <f t="shared" ref="I19:I27" si="1">(F19+G19+H19)*60%</f>
        <v>18946.559999999998</v>
      </c>
      <c r="J19" s="453">
        <f t="shared" ref="J19:J27" si="2">F19+G19+H19+I19</f>
        <v>50524.159999999996</v>
      </c>
      <c r="K19" s="375">
        <f>J19*12</f>
        <v>606289.91999999993</v>
      </c>
    </row>
    <row r="20" spans="1:31">
      <c r="A20" s="1298"/>
      <c r="B20" s="1033"/>
      <c r="C20" s="1029"/>
      <c r="D20" s="373"/>
      <c r="E20" s="374"/>
      <c r="F20" s="383"/>
      <c r="G20" s="383">
        <f t="shared" ref="G20:G21" si="3">F20*25%</f>
        <v>0</v>
      </c>
      <c r="H20" s="383"/>
      <c r="I20" s="453"/>
      <c r="J20" s="453"/>
      <c r="K20" s="375">
        <f t="shared" ref="K20:K26" si="4">J20*12</f>
        <v>0</v>
      </c>
    </row>
    <row r="21" spans="1:31" ht="25.5">
      <c r="A21" s="1299"/>
      <c r="B21" s="1033" t="s">
        <v>166</v>
      </c>
      <c r="C21" s="1029"/>
      <c r="D21" s="1029">
        <v>1</v>
      </c>
      <c r="E21" s="374">
        <v>13815</v>
      </c>
      <c r="F21" s="383">
        <f t="shared" si="0"/>
        <v>13815</v>
      </c>
      <c r="G21" s="383">
        <f t="shared" si="3"/>
        <v>3453.75</v>
      </c>
      <c r="H21" s="375">
        <v>4144.5</v>
      </c>
      <c r="I21" s="453">
        <f t="shared" si="1"/>
        <v>12847.949999999999</v>
      </c>
      <c r="J21" s="453">
        <f t="shared" si="2"/>
        <v>34261.199999999997</v>
      </c>
      <c r="K21" s="375">
        <f t="shared" si="4"/>
        <v>411134.39999999997</v>
      </c>
      <c r="AB21" s="455">
        <f>J21+J22</f>
        <v>70732.799999999988</v>
      </c>
    </row>
    <row r="22" spans="1:31" ht="51">
      <c r="A22" s="1299"/>
      <c r="B22" s="1037" t="s">
        <v>167</v>
      </c>
      <c r="C22" s="388"/>
      <c r="D22" s="388">
        <v>1</v>
      </c>
      <c r="E22" s="386">
        <v>13815</v>
      </c>
      <c r="F22" s="383">
        <f t="shared" si="0"/>
        <v>13815</v>
      </c>
      <c r="G22" s="391">
        <v>3453.75</v>
      </c>
      <c r="H22" s="391">
        <v>5526</v>
      </c>
      <c r="I22" s="453">
        <f t="shared" si="1"/>
        <v>13676.85</v>
      </c>
      <c r="J22" s="453">
        <f t="shared" si="2"/>
        <v>36471.599999999999</v>
      </c>
      <c r="K22" s="375">
        <f t="shared" si="4"/>
        <v>437659.19999999995</v>
      </c>
    </row>
    <row r="23" spans="1:31" ht="38.25">
      <c r="A23" s="1299"/>
      <c r="B23" s="1037" t="s">
        <v>357</v>
      </c>
      <c r="C23" s="388"/>
      <c r="D23" s="388">
        <v>1</v>
      </c>
      <c r="E23" s="386">
        <v>6742</v>
      </c>
      <c r="F23" s="383">
        <f t="shared" si="0"/>
        <v>6742</v>
      </c>
      <c r="G23" s="391">
        <v>10113</v>
      </c>
      <c r="H23" s="391"/>
      <c r="I23" s="454">
        <f t="shared" si="1"/>
        <v>10113</v>
      </c>
      <c r="J23" s="454">
        <f t="shared" si="2"/>
        <v>26968</v>
      </c>
      <c r="K23" s="375">
        <f t="shared" si="4"/>
        <v>323616</v>
      </c>
    </row>
    <row r="24" spans="1:31" ht="23.25" customHeight="1">
      <c r="A24" s="1299"/>
      <c r="B24" s="1037" t="s">
        <v>169</v>
      </c>
      <c r="C24" s="388"/>
      <c r="D24" s="388">
        <v>1</v>
      </c>
      <c r="E24" s="386">
        <v>3813</v>
      </c>
      <c r="F24" s="383">
        <f t="shared" si="0"/>
        <v>3813</v>
      </c>
      <c r="G24" s="391">
        <v>953.25</v>
      </c>
      <c r="H24" s="391">
        <v>190.65</v>
      </c>
      <c r="I24" s="454">
        <f t="shared" si="1"/>
        <v>2974.14</v>
      </c>
      <c r="J24" s="454">
        <f t="shared" si="2"/>
        <v>7931.0399999999991</v>
      </c>
      <c r="K24" s="375">
        <f t="shared" si="4"/>
        <v>95172.479999999981</v>
      </c>
      <c r="AE24" s="461">
        <f>K19+K21+K22+K23</f>
        <v>1778699.5199999998</v>
      </c>
    </row>
    <row r="25" spans="1:31">
      <c r="A25" s="1299"/>
      <c r="B25" s="1038" t="s">
        <v>143</v>
      </c>
      <c r="C25" s="1039"/>
      <c r="D25" s="1039">
        <v>13</v>
      </c>
      <c r="E25" s="1040">
        <v>4305</v>
      </c>
      <c r="F25" s="1041">
        <f t="shared" si="0"/>
        <v>55965</v>
      </c>
      <c r="G25" s="1042"/>
      <c r="H25" s="1042">
        <v>6242.25</v>
      </c>
      <c r="I25" s="1043">
        <f t="shared" si="1"/>
        <v>37324.35</v>
      </c>
      <c r="J25" s="1043">
        <f t="shared" si="2"/>
        <v>99531.6</v>
      </c>
      <c r="K25" s="1044">
        <f t="shared" si="4"/>
        <v>1194379.2000000002</v>
      </c>
    </row>
    <row r="26" spans="1:31" ht="29.25" customHeight="1" thickBot="1">
      <c r="A26" s="1299"/>
      <c r="B26" s="1038" t="s">
        <v>170</v>
      </c>
      <c r="C26" s="1039"/>
      <c r="D26" s="1039">
        <v>0.5</v>
      </c>
      <c r="E26" s="1040">
        <v>4650</v>
      </c>
      <c r="F26" s="1042">
        <f t="shared" si="0"/>
        <v>2325</v>
      </c>
      <c r="G26" s="1042">
        <v>1162.5</v>
      </c>
      <c r="H26" s="1042">
        <v>232.5</v>
      </c>
      <c r="I26" s="1043">
        <f t="shared" si="1"/>
        <v>2232</v>
      </c>
      <c r="J26" s="1043">
        <f t="shared" si="2"/>
        <v>5952</v>
      </c>
      <c r="K26" s="1044">
        <f t="shared" si="4"/>
        <v>71424</v>
      </c>
      <c r="U26" s="461">
        <f>K19+K21+K22+K23+K24+K26</f>
        <v>1945295.9999999998</v>
      </c>
    </row>
    <row r="27" spans="1:31" ht="25.5" hidden="1">
      <c r="A27" s="1299"/>
      <c r="B27" s="1033" t="s">
        <v>111</v>
      </c>
      <c r="C27" s="1029"/>
      <c r="D27" s="1029"/>
      <c r="E27" s="374"/>
      <c r="F27" s="375"/>
      <c r="G27" s="375"/>
      <c r="H27" s="375"/>
      <c r="I27" s="453">
        <f t="shared" si="1"/>
        <v>0</v>
      </c>
      <c r="J27" s="453">
        <f t="shared" si="2"/>
        <v>0</v>
      </c>
      <c r="K27" s="375">
        <f t="shared" ref="K27" si="5">J27*7</f>
        <v>0</v>
      </c>
    </row>
    <row r="28" spans="1:31" ht="13.5" hidden="1" thickBot="1">
      <c r="A28" s="1299"/>
      <c r="B28" s="1037" t="s">
        <v>74</v>
      </c>
      <c r="C28" s="388"/>
      <c r="D28" s="388"/>
      <c r="E28" s="386"/>
      <c r="F28" s="391"/>
      <c r="G28" s="391"/>
      <c r="H28" s="391"/>
      <c r="I28" s="454"/>
      <c r="J28" s="454"/>
      <c r="K28" s="391"/>
    </row>
    <row r="29" spans="1:31" ht="21.75" customHeight="1" thickBot="1">
      <c r="A29" s="1299"/>
      <c r="B29" s="456"/>
      <c r="C29" s="457"/>
      <c r="D29" s="783">
        <f>SUM(D19:D26)</f>
        <v>18.5</v>
      </c>
      <c r="E29" s="783">
        <f t="shared" ref="E29:J29" si="6">SUM(E19:E26)</f>
        <v>66876</v>
      </c>
      <c r="F29" s="458">
        <f t="shared" si="6"/>
        <v>116211</v>
      </c>
      <c r="G29" s="458">
        <f t="shared" si="6"/>
        <v>24070.25</v>
      </c>
      <c r="H29" s="458">
        <f t="shared" si="6"/>
        <v>23243.5</v>
      </c>
      <c r="I29" s="458">
        <f t="shared" si="6"/>
        <v>98114.849999999991</v>
      </c>
      <c r="J29" s="458">
        <f t="shared" si="6"/>
        <v>261639.6</v>
      </c>
      <c r="K29" s="666">
        <f>SUM(K19:K26)</f>
        <v>3139675.2</v>
      </c>
      <c r="M29" s="455">
        <f>J19+J20+J21+J22+J23+J24</f>
        <v>156156</v>
      </c>
      <c r="W29" s="455">
        <f>J24+J25+J26</f>
        <v>113414.64</v>
      </c>
      <c r="AC29" s="455"/>
      <c r="AE29" s="476">
        <f>K29*10%</f>
        <v>313967.52</v>
      </c>
    </row>
    <row r="30" spans="1:31">
      <c r="A30" s="1299"/>
      <c r="B30" s="1033" t="s">
        <v>171</v>
      </c>
      <c r="C30" s="1034"/>
      <c r="D30" s="380"/>
      <c r="E30" s="380"/>
      <c r="F30" s="459"/>
      <c r="G30" s="459"/>
      <c r="H30" s="459"/>
      <c r="I30" s="459"/>
      <c r="J30" s="459">
        <f>J29*20%</f>
        <v>52327.920000000006</v>
      </c>
      <c r="K30" s="375">
        <f t="shared" ref="K30:K32" si="7">J30*12</f>
        <v>627935.04</v>
      </c>
      <c r="W30" s="705">
        <f>W29*15%</f>
        <v>17012.196</v>
      </c>
      <c r="AD30" s="705">
        <f>J24+J25+J26</f>
        <v>113414.64</v>
      </c>
    </row>
    <row r="31" spans="1:31" ht="31.5" customHeight="1">
      <c r="A31" s="1299"/>
      <c r="B31" s="460" t="s">
        <v>78</v>
      </c>
      <c r="C31" s="1029"/>
      <c r="D31" s="373"/>
      <c r="E31" s="373"/>
      <c r="F31" s="389"/>
      <c r="G31" s="389"/>
      <c r="H31" s="389"/>
      <c r="I31" s="389"/>
      <c r="J31" s="389">
        <v>221219</v>
      </c>
      <c r="K31" s="375">
        <f t="shared" si="7"/>
        <v>2654628</v>
      </c>
      <c r="M31" s="784">
        <f>D23+D24+D25+D26</f>
        <v>15.5</v>
      </c>
      <c r="W31" s="461">
        <f>W29+W30+J31</f>
        <v>351645.83600000001</v>
      </c>
    </row>
    <row r="32" spans="1:31" ht="26.25" thickBot="1">
      <c r="A32" s="1299"/>
      <c r="B32" s="1037" t="s">
        <v>172</v>
      </c>
      <c r="C32" s="388"/>
      <c r="D32" s="385"/>
      <c r="E32" s="385"/>
      <c r="F32" s="390"/>
      <c r="G32" s="390"/>
      <c r="H32" s="390"/>
      <c r="I32" s="390"/>
      <c r="J32" s="390"/>
      <c r="K32" s="375">
        <f t="shared" si="7"/>
        <v>0</v>
      </c>
      <c r="M32" s="364" t="s">
        <v>193</v>
      </c>
    </row>
    <row r="33" spans="1:32" ht="39" thickBot="1">
      <c r="A33" s="1299"/>
      <c r="B33" s="462" t="s">
        <v>145</v>
      </c>
      <c r="C33" s="457"/>
      <c r="D33" s="463">
        <f>D29+D30+D31+D32</f>
        <v>18.5</v>
      </c>
      <c r="E33" s="463">
        <f t="shared" ref="E33:K33" si="8">E29+E30+E31+E32</f>
        <v>66876</v>
      </c>
      <c r="F33" s="463">
        <f t="shared" si="8"/>
        <v>116211</v>
      </c>
      <c r="G33" s="463">
        <f t="shared" si="8"/>
        <v>24070.25</v>
      </c>
      <c r="H33" s="463">
        <f t="shared" si="8"/>
        <v>23243.5</v>
      </c>
      <c r="I33" s="463">
        <f t="shared" si="8"/>
        <v>98114.849999999991</v>
      </c>
      <c r="J33" s="463">
        <f>J29+J30+J31+J32</f>
        <v>535186.52</v>
      </c>
      <c r="K33" s="464">
        <f t="shared" si="8"/>
        <v>6422238.2400000002</v>
      </c>
      <c r="O33" s="476">
        <v>6272481.8200000003</v>
      </c>
      <c r="S33" s="476">
        <v>6272481.8200000003</v>
      </c>
      <c r="T33" s="461">
        <f>K33+'[1]проточ ссап'!K33</f>
        <v>6621896.608</v>
      </c>
      <c r="AD33" s="461">
        <f>K33+'проточ ссап'!K33</f>
        <v>6760798.7999999998</v>
      </c>
    </row>
    <row r="34" spans="1:32">
      <c r="A34" s="1412" t="s">
        <v>32</v>
      </c>
      <c r="B34" s="1295" t="s">
        <v>144</v>
      </c>
      <c r="C34" s="1296"/>
      <c r="D34" s="1296"/>
      <c r="E34" s="1296"/>
      <c r="F34" s="1296"/>
      <c r="G34" s="1296"/>
      <c r="H34" s="1296"/>
      <c r="I34" s="1296"/>
      <c r="J34" s="1296"/>
      <c r="K34" s="1296"/>
      <c r="X34" s="455"/>
    </row>
    <row r="35" spans="1:32" ht="17.25" customHeight="1">
      <c r="A35" s="1413"/>
      <c r="B35" s="1045" t="s">
        <v>146</v>
      </c>
      <c r="C35" s="1046" t="s">
        <v>36</v>
      </c>
      <c r="D35" s="1047">
        <f>3.1+0.5</f>
        <v>3.6</v>
      </c>
      <c r="E35" s="1048">
        <v>8168</v>
      </c>
      <c r="F35" s="1044">
        <v>26782.62</v>
      </c>
      <c r="G35" s="1044">
        <v>6532.3</v>
      </c>
      <c r="H35" s="1044">
        <v>4571.0200000000004</v>
      </c>
      <c r="I35" s="1049">
        <f>(F35+G35+H35)*60%</f>
        <v>22731.564000000002</v>
      </c>
      <c r="J35" s="1049">
        <f t="shared" ref="J35:J44" si="9">F35+G35+H35+I35</f>
        <v>60617.504000000001</v>
      </c>
      <c r="K35" s="1044">
        <f t="shared" ref="K35:K43" si="10">J35*12</f>
        <v>727410.04799999995</v>
      </c>
      <c r="X35" s="455"/>
    </row>
    <row r="36" spans="1:32" ht="29.25" customHeight="1">
      <c r="A36" s="1413"/>
      <c r="B36" s="1033" t="s">
        <v>146</v>
      </c>
      <c r="C36" s="1029"/>
      <c r="D36" s="373">
        <v>15.5</v>
      </c>
      <c r="E36" s="374">
        <v>7171</v>
      </c>
      <c r="F36" s="375">
        <v>122265.55</v>
      </c>
      <c r="G36" s="375">
        <v>27787.63</v>
      </c>
      <c r="H36" s="375">
        <v>28522.93</v>
      </c>
      <c r="I36" s="453">
        <f>(F36+G36+H36)*60%</f>
        <v>107145.66599999998</v>
      </c>
      <c r="J36" s="453">
        <f t="shared" si="9"/>
        <v>285721.77599999995</v>
      </c>
      <c r="K36" s="375">
        <f t="shared" si="10"/>
        <v>3428661.3119999995</v>
      </c>
      <c r="X36" s="455"/>
      <c r="AD36" s="455">
        <f>J35+J36</f>
        <v>346339.27999999997</v>
      </c>
    </row>
    <row r="37" spans="1:32" ht="18" customHeight="1">
      <c r="A37" s="1413"/>
      <c r="B37" s="1033" t="s">
        <v>147</v>
      </c>
      <c r="C37" s="1029" t="s">
        <v>34</v>
      </c>
      <c r="D37" s="785">
        <v>2.75</v>
      </c>
      <c r="E37" s="377">
        <v>6255</v>
      </c>
      <c r="F37" s="377">
        <v>19781.439999999999</v>
      </c>
      <c r="G37" s="377">
        <v>4300.32</v>
      </c>
      <c r="H37" s="377">
        <v>5394.94</v>
      </c>
      <c r="I37" s="392">
        <f t="shared" ref="I37:I42" si="11">(F37+G37+H37)*60%</f>
        <v>17686.019999999997</v>
      </c>
      <c r="J37" s="392">
        <f t="shared" si="9"/>
        <v>47162.719999999994</v>
      </c>
      <c r="K37" s="375">
        <f t="shared" si="10"/>
        <v>565952.6399999999</v>
      </c>
      <c r="L37" s="455"/>
      <c r="X37" s="455"/>
    </row>
    <row r="38" spans="1:32" ht="28.5" customHeight="1">
      <c r="A38" s="1413"/>
      <c r="B38" s="1033" t="s">
        <v>147</v>
      </c>
      <c r="C38" s="1029" t="s">
        <v>34</v>
      </c>
      <c r="D38" s="786"/>
      <c r="E38" s="377"/>
      <c r="F38" s="377"/>
      <c r="G38" s="377"/>
      <c r="H38" s="377"/>
      <c r="I38" s="392">
        <f>(F38+G38+H38)*60%</f>
        <v>0</v>
      </c>
      <c r="J38" s="392">
        <f t="shared" si="9"/>
        <v>0</v>
      </c>
      <c r="K38" s="375">
        <f t="shared" si="10"/>
        <v>0</v>
      </c>
      <c r="L38" s="455"/>
      <c r="X38" s="455"/>
    </row>
    <row r="39" spans="1:32" ht="31.5" customHeight="1">
      <c r="A39" s="1414"/>
      <c r="B39" s="1033" t="s">
        <v>44</v>
      </c>
      <c r="C39" s="1029" t="s">
        <v>42</v>
      </c>
      <c r="D39" s="521">
        <v>1.5</v>
      </c>
      <c r="E39" s="377">
        <v>6255</v>
      </c>
      <c r="F39" s="377">
        <v>10789.88</v>
      </c>
      <c r="G39" s="377">
        <v>2345.63</v>
      </c>
      <c r="H39" s="377">
        <v>1407.38</v>
      </c>
      <c r="I39" s="377">
        <f t="shared" si="11"/>
        <v>8725.7339999999986</v>
      </c>
      <c r="J39" s="377">
        <f t="shared" si="9"/>
        <v>23268.623999999996</v>
      </c>
      <c r="K39" s="375">
        <f t="shared" si="10"/>
        <v>279223.48799999995</v>
      </c>
    </row>
    <row r="40" spans="1:32" ht="25.5" customHeight="1">
      <c r="A40" s="1414"/>
      <c r="B40" s="1033" t="s">
        <v>175</v>
      </c>
      <c r="C40" s="1029" t="s">
        <v>29</v>
      </c>
      <c r="D40" s="393">
        <v>1</v>
      </c>
      <c r="E40" s="377">
        <v>8168</v>
      </c>
      <c r="F40" s="377">
        <v>8168</v>
      </c>
      <c r="G40" s="377">
        <v>2042</v>
      </c>
      <c r="H40" s="377">
        <v>1225.2</v>
      </c>
      <c r="I40" s="377">
        <f t="shared" si="11"/>
        <v>6861.12</v>
      </c>
      <c r="J40" s="377">
        <f t="shared" si="9"/>
        <v>18296.32</v>
      </c>
      <c r="K40" s="375">
        <f t="shared" si="10"/>
        <v>219555.84</v>
      </c>
    </row>
    <row r="41" spans="1:32" ht="18.75" customHeight="1">
      <c r="A41" s="1414"/>
      <c r="B41" s="1033" t="s">
        <v>176</v>
      </c>
      <c r="C41" s="1029" t="s">
        <v>29</v>
      </c>
      <c r="D41" s="469">
        <v>1</v>
      </c>
      <c r="E41" s="371">
        <v>8942</v>
      </c>
      <c r="F41" s="371">
        <v>8942</v>
      </c>
      <c r="G41" s="371">
        <v>2235.5</v>
      </c>
      <c r="H41" s="371">
        <v>1341.3</v>
      </c>
      <c r="I41" s="377">
        <f t="shared" si="11"/>
        <v>7511.2799999999988</v>
      </c>
      <c r="J41" s="377">
        <f t="shared" si="9"/>
        <v>20030.079999999998</v>
      </c>
      <c r="K41" s="375">
        <f t="shared" si="10"/>
        <v>240360.95999999996</v>
      </c>
    </row>
    <row r="42" spans="1:32" ht="20.25" customHeight="1">
      <c r="A42" s="1414"/>
      <c r="B42" s="1033" t="s">
        <v>40</v>
      </c>
      <c r="C42" s="1029" t="s">
        <v>34</v>
      </c>
      <c r="D42" s="470">
        <v>1</v>
      </c>
      <c r="E42" s="371">
        <v>8942</v>
      </c>
      <c r="F42" s="371">
        <v>10283.299999999999</v>
      </c>
      <c r="G42" s="371">
        <v>4023.9</v>
      </c>
      <c r="H42" s="371">
        <v>1341.3</v>
      </c>
      <c r="I42" s="371">
        <f t="shared" si="11"/>
        <v>9389.0999999999985</v>
      </c>
      <c r="J42" s="371">
        <f t="shared" si="9"/>
        <v>25037.599999999999</v>
      </c>
      <c r="K42" s="375">
        <f t="shared" si="10"/>
        <v>300451.19999999995</v>
      </c>
    </row>
    <row r="43" spans="1:32" ht="23.25" customHeight="1">
      <c r="A43" s="1414"/>
      <c r="B43" s="1033" t="s">
        <v>178</v>
      </c>
      <c r="C43" s="1029" t="s">
        <v>36</v>
      </c>
      <c r="D43" s="469">
        <v>1</v>
      </c>
      <c r="E43" s="371">
        <v>8942</v>
      </c>
      <c r="F43" s="371">
        <v>10283.299999999999</v>
      </c>
      <c r="G43" s="371">
        <v>2235.5</v>
      </c>
      <c r="H43" s="371">
        <v>447.1</v>
      </c>
      <c r="I43" s="371">
        <f>(F43+G43+H43)*60%</f>
        <v>7779.5399999999991</v>
      </c>
      <c r="J43" s="371">
        <f t="shared" si="9"/>
        <v>20745.439999999999</v>
      </c>
      <c r="K43" s="375">
        <f t="shared" si="10"/>
        <v>248945.27999999997</v>
      </c>
    </row>
    <row r="44" spans="1:32" ht="37.5" customHeight="1" thickBot="1">
      <c r="A44" s="1415"/>
      <c r="B44" s="1033" t="s">
        <v>177</v>
      </c>
      <c r="C44" s="1029" t="s">
        <v>42</v>
      </c>
      <c r="D44" s="469"/>
      <c r="E44" s="787"/>
      <c r="F44" s="471"/>
      <c r="G44" s="471"/>
      <c r="H44" s="471"/>
      <c r="I44" s="471">
        <f>(F44+G44+H44)*60%</f>
        <v>0</v>
      </c>
      <c r="J44" s="471">
        <f t="shared" si="9"/>
        <v>0</v>
      </c>
      <c r="K44" s="468">
        <f t="shared" ref="K44" si="12">J44*7</f>
        <v>0</v>
      </c>
    </row>
    <row r="45" spans="1:32" ht="13.5" thickBot="1">
      <c r="A45" s="472"/>
      <c r="B45" s="456"/>
      <c r="C45" s="473"/>
      <c r="D45" s="474">
        <f t="shared" ref="D45:K45" si="13">SUM(D35:D44)</f>
        <v>27.35</v>
      </c>
      <c r="E45" s="474">
        <f t="shared" si="13"/>
        <v>62843</v>
      </c>
      <c r="F45" s="474">
        <f t="shared" si="13"/>
        <v>217296.09</v>
      </c>
      <c r="G45" s="474">
        <f t="shared" si="13"/>
        <v>51502.78</v>
      </c>
      <c r="H45" s="474">
        <f t="shared" si="13"/>
        <v>44251.17</v>
      </c>
      <c r="I45" s="474">
        <f t="shared" si="13"/>
        <v>187830.02399999998</v>
      </c>
      <c r="J45" s="474">
        <f t="shared" si="13"/>
        <v>500880.06399999995</v>
      </c>
      <c r="K45" s="475">
        <f t="shared" si="13"/>
        <v>6010560.7679999992</v>
      </c>
      <c r="L45" s="455"/>
      <c r="N45" s="476">
        <v>11162822.140000001</v>
      </c>
      <c r="Z45" s="476"/>
    </row>
    <row r="46" spans="1:32" ht="25.5">
      <c r="A46" s="477"/>
      <c r="B46" s="1036" t="s">
        <v>172</v>
      </c>
      <c r="C46" s="1031"/>
      <c r="D46" s="480"/>
      <c r="E46" s="480"/>
      <c r="F46" s="480"/>
      <c r="G46" s="480"/>
      <c r="H46" s="480"/>
      <c r="I46" s="480"/>
      <c r="J46" s="481">
        <v>77391.97</v>
      </c>
      <c r="K46" s="375">
        <f t="shared" ref="K46:K47" si="14">J46*12</f>
        <v>928703.64</v>
      </c>
      <c r="L46" s="455"/>
    </row>
    <row r="47" spans="1:32" ht="13.5" thickBot="1">
      <c r="A47" s="482"/>
      <c r="B47" s="1037" t="s">
        <v>171</v>
      </c>
      <c r="C47" s="483"/>
      <c r="D47" s="484"/>
      <c r="E47" s="387"/>
      <c r="F47" s="387"/>
      <c r="G47" s="387"/>
      <c r="H47" s="387"/>
      <c r="I47" s="387"/>
      <c r="J47" s="485">
        <v>529971.48</v>
      </c>
      <c r="K47" s="375">
        <f t="shared" si="14"/>
        <v>6359657.7599999998</v>
      </c>
      <c r="L47" s="461"/>
      <c r="N47" s="705">
        <f>N45-K48</f>
        <v>-2136100.0279999971</v>
      </c>
      <c r="O47" s="476"/>
      <c r="Y47" s="476"/>
    </row>
    <row r="48" spans="1:32" ht="39" thickBot="1">
      <c r="A48" s="486"/>
      <c r="B48" s="1032" t="s">
        <v>148</v>
      </c>
      <c r="C48" s="473"/>
      <c r="D48" s="488">
        <f>D45+D46+D47</f>
        <v>27.35</v>
      </c>
      <c r="E48" s="488">
        <f t="shared" ref="E48:I48" si="15">E45+E46+E47</f>
        <v>62843</v>
      </c>
      <c r="F48" s="488">
        <f t="shared" si="15"/>
        <v>217296.09</v>
      </c>
      <c r="G48" s="488">
        <f t="shared" si="15"/>
        <v>51502.78</v>
      </c>
      <c r="H48" s="488">
        <f t="shared" si="15"/>
        <v>44251.17</v>
      </c>
      <c r="I48" s="488">
        <f t="shared" si="15"/>
        <v>187830.02399999998</v>
      </c>
      <c r="J48" s="488">
        <f>J45+J46+J47</f>
        <v>1108243.514</v>
      </c>
      <c r="K48" s="489">
        <f>K45+K46+K47</f>
        <v>13298922.167999998</v>
      </c>
      <c r="M48" s="461"/>
      <c r="AD48" s="461">
        <f>K48+'проточ ссап'!K48</f>
        <v>13668591.071999997</v>
      </c>
      <c r="AE48" s="476">
        <f>(K48-K46)/6</f>
        <v>2061703.0879999995</v>
      </c>
      <c r="AF48" s="705">
        <f>AE48*12</f>
        <v>24740437.055999994</v>
      </c>
    </row>
    <row r="49" spans="1:33">
      <c r="A49" s="1416" t="s">
        <v>81</v>
      </c>
      <c r="B49" s="1036"/>
      <c r="C49" s="1300" t="s">
        <v>80</v>
      </c>
      <c r="D49" s="1301"/>
      <c r="E49" s="1301"/>
      <c r="F49" s="1301"/>
      <c r="G49" s="1301"/>
      <c r="H49" s="1301"/>
      <c r="I49" s="1301"/>
      <c r="J49" s="1301"/>
      <c r="K49" s="1301"/>
      <c r="L49" s="455"/>
      <c r="M49" s="455"/>
      <c r="N49" s="455"/>
    </row>
    <row r="50" spans="1:33">
      <c r="A50" s="1302"/>
      <c r="B50" s="1033" t="s">
        <v>95</v>
      </c>
      <c r="C50" s="1303" t="s">
        <v>83</v>
      </c>
      <c r="D50" s="380">
        <v>1</v>
      </c>
      <c r="E50" s="885">
        <v>5109</v>
      </c>
      <c r="F50" s="490">
        <f>D50*E50</f>
        <v>5109</v>
      </c>
      <c r="G50" s="490">
        <v>1634.88</v>
      </c>
      <c r="H50" s="490">
        <v>1277.25</v>
      </c>
      <c r="I50" s="491">
        <f>(F50+G50+H50)*60%</f>
        <v>4812.6779999999999</v>
      </c>
      <c r="J50" s="491">
        <f t="shared" ref="J50:J61" si="16">F50+G50+H50+I50</f>
        <v>12833.808000000001</v>
      </c>
      <c r="K50" s="375">
        <f t="shared" ref="K50:K61" si="17">J50*12</f>
        <v>154005.696</v>
      </c>
    </row>
    <row r="51" spans="1:33">
      <c r="A51" s="1302"/>
      <c r="B51" s="1033" t="s">
        <v>93</v>
      </c>
      <c r="C51" s="1294"/>
      <c r="D51" s="1029">
        <v>3</v>
      </c>
      <c r="E51" s="725">
        <v>3275</v>
      </c>
      <c r="F51" s="490">
        <f>D51*E51</f>
        <v>9825</v>
      </c>
      <c r="G51" s="468">
        <v>1179</v>
      </c>
      <c r="H51" s="493">
        <v>1146.25</v>
      </c>
      <c r="I51" s="491">
        <f>(F51+G51+H51)*60%</f>
        <v>7290.15</v>
      </c>
      <c r="J51" s="491">
        <f t="shared" si="16"/>
        <v>19440.400000000001</v>
      </c>
      <c r="K51" s="375">
        <f t="shared" si="17"/>
        <v>233284.80000000002</v>
      </c>
      <c r="L51" s="455"/>
      <c r="M51" s="455"/>
      <c r="N51" s="455"/>
    </row>
    <row r="52" spans="1:33">
      <c r="A52" s="1302"/>
      <c r="B52" s="1033" t="s">
        <v>93</v>
      </c>
      <c r="C52" s="1294"/>
      <c r="D52" s="373">
        <v>1</v>
      </c>
      <c r="E52" s="886">
        <v>3813</v>
      </c>
      <c r="F52" s="490">
        <f>D52*E52</f>
        <v>3813</v>
      </c>
      <c r="G52" s="493">
        <f>F52*12%</f>
        <v>457.56</v>
      </c>
      <c r="H52" s="493">
        <v>953.25</v>
      </c>
      <c r="I52" s="491">
        <f>(F52+G52+H52)*60%</f>
        <v>3134.2860000000001</v>
      </c>
      <c r="J52" s="494">
        <f t="shared" si="16"/>
        <v>8358.0960000000014</v>
      </c>
      <c r="K52" s="375">
        <f t="shared" si="17"/>
        <v>100297.15200000002</v>
      </c>
    </row>
    <row r="53" spans="1:33" ht="38.25">
      <c r="A53" s="1302"/>
      <c r="B53" s="1033" t="s">
        <v>186</v>
      </c>
      <c r="C53" s="1294"/>
      <c r="D53" s="709">
        <v>2</v>
      </c>
      <c r="E53" s="725">
        <v>3275</v>
      </c>
      <c r="F53" s="490">
        <f>D53*E53</f>
        <v>6550</v>
      </c>
      <c r="G53" s="468"/>
      <c r="H53" s="468">
        <v>491.25</v>
      </c>
      <c r="I53" s="491">
        <f>(F53+G53+H53)*60%</f>
        <v>4224.75</v>
      </c>
      <c r="J53" s="494">
        <f t="shared" si="16"/>
        <v>11266</v>
      </c>
      <c r="K53" s="375">
        <f t="shared" si="17"/>
        <v>135192</v>
      </c>
      <c r="L53" s="455"/>
      <c r="M53" s="455"/>
      <c r="N53" s="455"/>
    </row>
    <row r="54" spans="1:33">
      <c r="A54" s="1302"/>
      <c r="B54" s="1033" t="s">
        <v>87</v>
      </c>
      <c r="C54" s="1294"/>
      <c r="D54" s="1029">
        <v>1</v>
      </c>
      <c r="E54" s="400">
        <v>3275</v>
      </c>
      <c r="F54" s="370">
        <f t="shared" ref="F54:F61" si="18">D54*E54</f>
        <v>3275</v>
      </c>
      <c r="G54" s="395"/>
      <c r="H54" s="395">
        <v>491.25</v>
      </c>
      <c r="I54" s="495">
        <f t="shared" ref="I54:I61" si="19">(F54+G54+H54)*60%</f>
        <v>2259.75</v>
      </c>
      <c r="J54" s="495">
        <f t="shared" si="16"/>
        <v>6026</v>
      </c>
      <c r="K54" s="375">
        <f t="shared" si="17"/>
        <v>72312</v>
      </c>
    </row>
    <row r="55" spans="1:33" ht="25.5">
      <c r="A55" s="1302"/>
      <c r="B55" s="1033" t="s">
        <v>179</v>
      </c>
      <c r="C55" s="1294"/>
      <c r="D55" s="389">
        <v>2</v>
      </c>
      <c r="E55" s="887">
        <v>3275</v>
      </c>
      <c r="F55" s="370">
        <f t="shared" si="18"/>
        <v>6550</v>
      </c>
      <c r="G55" s="395">
        <v>393</v>
      </c>
      <c r="H55" s="395">
        <v>1310</v>
      </c>
      <c r="I55" s="495">
        <f t="shared" si="19"/>
        <v>4951.8</v>
      </c>
      <c r="J55" s="495">
        <f t="shared" si="16"/>
        <v>13204.8</v>
      </c>
      <c r="K55" s="375">
        <f t="shared" si="17"/>
        <v>158457.59999999998</v>
      </c>
      <c r="L55" s="455"/>
      <c r="M55" s="455"/>
      <c r="N55" s="455"/>
      <c r="AG55" s="455"/>
    </row>
    <row r="56" spans="1:33">
      <c r="A56" s="1302"/>
      <c r="B56" s="1033" t="s">
        <v>180</v>
      </c>
      <c r="C56" s="1294"/>
      <c r="D56" s="373">
        <v>1</v>
      </c>
      <c r="E56" s="722">
        <v>3275</v>
      </c>
      <c r="F56" s="370">
        <f t="shared" si="18"/>
        <v>3275</v>
      </c>
      <c r="G56" s="395"/>
      <c r="H56" s="395">
        <v>491.25</v>
      </c>
      <c r="I56" s="495">
        <f t="shared" si="19"/>
        <v>2259.75</v>
      </c>
      <c r="J56" s="495">
        <f t="shared" si="16"/>
        <v>6026</v>
      </c>
      <c r="K56" s="375">
        <f t="shared" si="17"/>
        <v>72312</v>
      </c>
      <c r="AG56" s="455"/>
    </row>
    <row r="57" spans="1:33" ht="25.5">
      <c r="A57" s="1302"/>
      <c r="B57" s="1033" t="s">
        <v>85</v>
      </c>
      <c r="C57" s="1294"/>
      <c r="D57" s="373">
        <v>2</v>
      </c>
      <c r="E57" s="716">
        <v>3275</v>
      </c>
      <c r="F57" s="370">
        <f t="shared" si="18"/>
        <v>6550</v>
      </c>
      <c r="G57" s="375"/>
      <c r="H57" s="375">
        <v>491.25</v>
      </c>
      <c r="I57" s="494">
        <f t="shared" si="19"/>
        <v>4224.75</v>
      </c>
      <c r="J57" s="494">
        <f t="shared" si="16"/>
        <v>11266</v>
      </c>
      <c r="K57" s="375">
        <f t="shared" si="17"/>
        <v>135192</v>
      </c>
      <c r="L57" s="455"/>
      <c r="M57" s="455"/>
      <c r="N57" s="455"/>
      <c r="AG57" s="455"/>
    </row>
    <row r="58" spans="1:33" ht="38.25">
      <c r="A58" s="1302"/>
      <c r="B58" s="1033" t="s">
        <v>181</v>
      </c>
      <c r="C58" s="1294"/>
      <c r="D58" s="389">
        <v>1</v>
      </c>
      <c r="E58" s="722">
        <v>3275</v>
      </c>
      <c r="F58" s="370">
        <f t="shared" si="18"/>
        <v>3275</v>
      </c>
      <c r="G58" s="395"/>
      <c r="H58" s="395">
        <v>163.75</v>
      </c>
      <c r="I58" s="495">
        <f t="shared" si="19"/>
        <v>2063.25</v>
      </c>
      <c r="J58" s="495">
        <f t="shared" si="16"/>
        <v>5502</v>
      </c>
      <c r="K58" s="375">
        <f t="shared" si="17"/>
        <v>66024</v>
      </c>
      <c r="L58" s="455"/>
      <c r="M58" s="455"/>
      <c r="N58" s="455"/>
      <c r="AG58" s="455"/>
    </row>
    <row r="59" spans="1:33" s="1005" customFormat="1">
      <c r="A59" s="1302"/>
      <c r="B59" s="1045" t="s">
        <v>82</v>
      </c>
      <c r="C59" s="1294"/>
      <c r="D59" s="1046">
        <v>3</v>
      </c>
      <c r="E59" s="1050">
        <v>3275</v>
      </c>
      <c r="F59" s="1051">
        <f t="shared" si="18"/>
        <v>9825</v>
      </c>
      <c r="G59" s="1052">
        <f>F59/160*120*35%</f>
        <v>2579.0625</v>
      </c>
      <c r="H59" s="1052">
        <v>3275</v>
      </c>
      <c r="I59" s="1053">
        <f t="shared" si="19"/>
        <v>9407.4375</v>
      </c>
      <c r="J59" s="1053">
        <f t="shared" si="16"/>
        <v>25086.5</v>
      </c>
      <c r="K59" s="1044">
        <f t="shared" si="17"/>
        <v>301038</v>
      </c>
      <c r="L59" s="1054"/>
      <c r="M59" s="1054"/>
      <c r="N59" s="1054"/>
      <c r="AG59" s="1054"/>
    </row>
    <row r="60" spans="1:33" s="1005" customFormat="1">
      <c r="A60" s="1302"/>
      <c r="B60" s="1045" t="s">
        <v>396</v>
      </c>
      <c r="C60" s="1055"/>
      <c r="D60" s="1046">
        <v>3</v>
      </c>
      <c r="E60" s="1050">
        <v>3275</v>
      </c>
      <c r="F60" s="1051">
        <f t="shared" ref="F60" si="20">D60*E60</f>
        <v>9825</v>
      </c>
      <c r="G60" s="1052">
        <f>F60/160*120*35%</f>
        <v>2579.0625</v>
      </c>
      <c r="H60" s="1052">
        <v>3276</v>
      </c>
      <c r="I60" s="1053">
        <f t="shared" ref="I60" si="21">(F60+G60+H60)*60%</f>
        <v>9408.0375000000004</v>
      </c>
      <c r="J60" s="1053">
        <f t="shared" ref="J60" si="22">F60+G60+H60+I60</f>
        <v>25088.1</v>
      </c>
      <c r="K60" s="1044">
        <f t="shared" ref="K60" si="23">J60*12</f>
        <v>301057.19999999995</v>
      </c>
      <c r="L60" s="1054"/>
      <c r="M60" s="1054"/>
      <c r="N60" s="1054"/>
      <c r="AG60" s="1054"/>
    </row>
    <row r="61" spans="1:33" ht="56.25" customHeight="1">
      <c r="A61" s="1302"/>
      <c r="B61" s="1033" t="s">
        <v>88</v>
      </c>
      <c r="C61" s="1029" t="s">
        <v>90</v>
      </c>
      <c r="D61" s="496">
        <v>2</v>
      </c>
      <c r="E61" s="497">
        <v>3275</v>
      </c>
      <c r="F61" s="498">
        <f t="shared" si="18"/>
        <v>6550</v>
      </c>
      <c r="G61" s="395"/>
      <c r="H61" s="395">
        <v>655</v>
      </c>
      <c r="I61" s="499">
        <f t="shared" si="19"/>
        <v>4323</v>
      </c>
      <c r="J61" s="499">
        <f t="shared" si="16"/>
        <v>11528</v>
      </c>
      <c r="K61" s="375">
        <f t="shared" si="17"/>
        <v>138336</v>
      </c>
      <c r="L61" s="455"/>
    </row>
    <row r="62" spans="1:33" ht="13.5" thickBot="1">
      <c r="A62" s="1417"/>
      <c r="B62" s="1037"/>
      <c r="C62" s="388"/>
      <c r="D62" s="388"/>
      <c r="E62" s="500"/>
      <c r="F62" s="382"/>
      <c r="G62" s="391"/>
      <c r="H62" s="391"/>
      <c r="I62" s="501"/>
      <c r="J62" s="501"/>
      <c r="K62" s="391">
        <f t="shared" ref="K62" si="24">J62*7</f>
        <v>0</v>
      </c>
    </row>
    <row r="63" spans="1:33" ht="13.5" thickBot="1">
      <c r="A63" s="456"/>
      <c r="B63" s="502" t="s">
        <v>68</v>
      </c>
      <c r="C63" s="457"/>
      <c r="D63" s="463">
        <f>SUM(D50:D62)</f>
        <v>22</v>
      </c>
      <c r="E63" s="503">
        <f t="shared" ref="E63:I63" si="25">SUM(E50:E62)</f>
        <v>41672</v>
      </c>
      <c r="F63" s="463">
        <f t="shared" si="25"/>
        <v>74422</v>
      </c>
      <c r="G63" s="463">
        <f t="shared" si="25"/>
        <v>8822.5650000000005</v>
      </c>
      <c r="H63" s="463">
        <f t="shared" si="25"/>
        <v>14021.5</v>
      </c>
      <c r="I63" s="503">
        <f t="shared" si="25"/>
        <v>58359.639000000003</v>
      </c>
      <c r="J63" s="463">
        <f>SUM(J50:J62)</f>
        <v>155625.704</v>
      </c>
      <c r="K63" s="504">
        <f>SUM(K50:K62)</f>
        <v>1867508.4480000001</v>
      </c>
    </row>
    <row r="64" spans="1:33">
      <c r="A64" s="1035"/>
      <c r="B64" s="506" t="s">
        <v>56</v>
      </c>
      <c r="C64" s="1034"/>
      <c r="D64" s="507"/>
      <c r="E64" s="508"/>
      <c r="F64" s="508"/>
      <c r="G64" s="508"/>
      <c r="H64" s="508"/>
      <c r="I64" s="508"/>
      <c r="J64" s="508">
        <f>J63*15%</f>
        <v>23343.855599999999</v>
      </c>
      <c r="K64" s="375">
        <f t="shared" ref="K64:K66" si="26">J64*12</f>
        <v>280126.2672</v>
      </c>
      <c r="AG64" s="455"/>
    </row>
    <row r="65" spans="1:31" ht="51">
      <c r="A65" s="1033" t="s">
        <v>349</v>
      </c>
      <c r="B65" s="509" t="s">
        <v>78</v>
      </c>
      <c r="C65" s="1029"/>
      <c r="D65" s="510"/>
      <c r="E65" s="511"/>
      <c r="F65" s="511"/>
      <c r="G65" s="511"/>
      <c r="H65" s="511"/>
      <c r="I65" s="511"/>
      <c r="J65" s="389">
        <f>364892.28</f>
        <v>364892.28</v>
      </c>
      <c r="K65" s="375">
        <f t="shared" si="26"/>
        <v>4378707.3600000003</v>
      </c>
      <c r="AB65" s="461">
        <f>J63+J64+J65</f>
        <v>543861.83960000006</v>
      </c>
      <c r="AC65" s="364">
        <f>AB65/22</f>
        <v>24720.992709090911</v>
      </c>
    </row>
    <row r="66" spans="1:31" ht="25.5">
      <c r="A66" s="1033"/>
      <c r="B66" s="1036" t="s">
        <v>172</v>
      </c>
      <c r="C66" s="1029"/>
      <c r="D66" s="510"/>
      <c r="E66" s="511"/>
      <c r="F66" s="511"/>
      <c r="G66" s="511"/>
      <c r="H66" s="511"/>
      <c r="I66" s="511"/>
      <c r="J66" s="389"/>
      <c r="K66" s="375">
        <f t="shared" si="26"/>
        <v>0</v>
      </c>
    </row>
    <row r="67" spans="1:31" ht="13.5" thickBot="1">
      <c r="A67" s="788"/>
      <c r="B67" s="703" t="s">
        <v>103</v>
      </c>
      <c r="C67" s="789"/>
      <c r="D67" s="704">
        <f>D63+D64+D65+D66</f>
        <v>22</v>
      </c>
      <c r="E67" s="704">
        <f>E63+E64+E65+E66</f>
        <v>41672</v>
      </c>
      <c r="F67" s="704">
        <f t="shared" ref="F67:K67" si="27">F63+F64+F65+F66</f>
        <v>74422</v>
      </c>
      <c r="G67" s="704">
        <f t="shared" si="27"/>
        <v>8822.5650000000005</v>
      </c>
      <c r="H67" s="704">
        <f t="shared" si="27"/>
        <v>14021.5</v>
      </c>
      <c r="I67" s="704">
        <f t="shared" si="27"/>
        <v>58359.639000000003</v>
      </c>
      <c r="J67" s="704">
        <f>J63+J64+J65+J66</f>
        <v>543861.83960000006</v>
      </c>
      <c r="K67" s="704">
        <f t="shared" si="27"/>
        <v>6526342.0752000008</v>
      </c>
      <c r="O67" s="476">
        <v>5326448.6399999997</v>
      </c>
      <c r="Q67" s="705">
        <f>O67-K67</f>
        <v>-1199893.4352000011</v>
      </c>
      <c r="AD67" s="461">
        <f>K67+'проточ ссап'!K66</f>
        <v>7443104.5728000011</v>
      </c>
      <c r="AE67" s="461">
        <f>K67+'проточ ссап'!K66</f>
        <v>7443104.5728000011</v>
      </c>
    </row>
    <row r="68" spans="1:31" ht="13.5" thickBot="1">
      <c r="B68" s="515" t="s">
        <v>149</v>
      </c>
      <c r="C68" s="516"/>
      <c r="D68" s="517">
        <f>D33+D48+D67</f>
        <v>67.849999999999994</v>
      </c>
      <c r="E68" s="517">
        <f t="shared" ref="E68:K68" si="28">E33+E48+E67</f>
        <v>171391</v>
      </c>
      <c r="F68" s="517">
        <f t="shared" si="28"/>
        <v>407929.08999999997</v>
      </c>
      <c r="G68" s="517">
        <f t="shared" si="28"/>
        <v>84395.595000000001</v>
      </c>
      <c r="H68" s="517">
        <f t="shared" si="28"/>
        <v>81516.17</v>
      </c>
      <c r="I68" s="517">
        <f t="shared" si="28"/>
        <v>344304.51299999998</v>
      </c>
      <c r="J68" s="517">
        <f t="shared" si="28"/>
        <v>2187291.8736</v>
      </c>
      <c r="K68" s="517">
        <f t="shared" si="28"/>
        <v>26247502.483199999</v>
      </c>
      <c r="R68" s="705">
        <f>K67-O67</f>
        <v>1199893.4352000011</v>
      </c>
    </row>
    <row r="70" spans="1:31">
      <c r="B70" s="518" t="s">
        <v>99</v>
      </c>
      <c r="H70" s="518" t="s">
        <v>127</v>
      </c>
      <c r="K70" s="519"/>
    </row>
    <row r="71" spans="1:31">
      <c r="J71" s="520"/>
    </row>
    <row r="72" spans="1:31">
      <c r="D72" s="461"/>
    </row>
    <row r="73" spans="1:31">
      <c r="A73" s="1304" t="s">
        <v>151</v>
      </c>
      <c r="B73" s="1305"/>
      <c r="C73" s="1305"/>
      <c r="D73" s="469">
        <f>D33</f>
        <v>18.5</v>
      </c>
      <c r="E73" s="469">
        <f t="shared" ref="E73:K73" si="29">E33</f>
        <v>66876</v>
      </c>
      <c r="F73" s="469">
        <f t="shared" si="29"/>
        <v>116211</v>
      </c>
      <c r="G73" s="469">
        <f t="shared" si="29"/>
        <v>24070.25</v>
      </c>
      <c r="H73" s="469">
        <f t="shared" si="29"/>
        <v>23243.5</v>
      </c>
      <c r="I73" s="469">
        <f t="shared" si="29"/>
        <v>98114.849999999991</v>
      </c>
      <c r="J73" s="469">
        <f t="shared" si="29"/>
        <v>535186.52</v>
      </c>
      <c r="K73" s="469">
        <f t="shared" si="29"/>
        <v>6422238.2400000002</v>
      </c>
      <c r="Z73" s="476"/>
      <c r="AA73" s="476"/>
      <c r="AB73" s="455"/>
      <c r="AC73" s="476"/>
    </row>
    <row r="74" spans="1:31">
      <c r="A74" s="1348" t="s">
        <v>153</v>
      </c>
      <c r="B74" s="1411"/>
      <c r="C74" s="521"/>
      <c r="D74" s="469">
        <f>D48</f>
        <v>27.35</v>
      </c>
      <c r="E74" s="469">
        <f t="shared" ref="E74:K74" si="30">E48</f>
        <v>62843</v>
      </c>
      <c r="F74" s="469">
        <f t="shared" si="30"/>
        <v>217296.09</v>
      </c>
      <c r="G74" s="469">
        <f t="shared" si="30"/>
        <v>51502.78</v>
      </c>
      <c r="H74" s="469">
        <f t="shared" si="30"/>
        <v>44251.17</v>
      </c>
      <c r="I74" s="469">
        <f t="shared" si="30"/>
        <v>187830.02399999998</v>
      </c>
      <c r="J74" s="469">
        <f t="shared" si="30"/>
        <v>1108243.514</v>
      </c>
      <c r="K74" s="469">
        <f t="shared" si="30"/>
        <v>13298922.167999998</v>
      </c>
      <c r="P74" s="476"/>
    </row>
    <row r="75" spans="1:31">
      <c r="A75" s="1293" t="s">
        <v>152</v>
      </c>
      <c r="B75" s="1294"/>
      <c r="C75" s="1294"/>
      <c r="D75" s="522">
        <f>D67</f>
        <v>22</v>
      </c>
      <c r="E75" s="522">
        <f t="shared" ref="E75:K75" si="31">E67</f>
        <v>41672</v>
      </c>
      <c r="F75" s="522">
        <f t="shared" si="31"/>
        <v>74422</v>
      </c>
      <c r="G75" s="522">
        <f t="shared" si="31"/>
        <v>8822.5650000000005</v>
      </c>
      <c r="H75" s="522">
        <f t="shared" si="31"/>
        <v>14021.5</v>
      </c>
      <c r="I75" s="522">
        <f t="shared" si="31"/>
        <v>58359.639000000003</v>
      </c>
      <c r="J75" s="522">
        <f t="shared" si="31"/>
        <v>543861.83960000006</v>
      </c>
      <c r="K75" s="522">
        <f t="shared" si="31"/>
        <v>6526342.0752000008</v>
      </c>
    </row>
    <row r="76" spans="1:31">
      <c r="D76" s="461">
        <f>SUM(D73:D75)</f>
        <v>67.849999999999994</v>
      </c>
      <c r="E76" s="461">
        <f t="shared" ref="E76:J76" si="32">SUM(E73:E75)</f>
        <v>171391</v>
      </c>
      <c r="F76" s="461">
        <f t="shared" si="32"/>
        <v>407929.08999999997</v>
      </c>
      <c r="G76" s="461">
        <f t="shared" si="32"/>
        <v>84395.595000000001</v>
      </c>
      <c r="H76" s="461">
        <f t="shared" si="32"/>
        <v>81516.17</v>
      </c>
      <c r="I76" s="461">
        <f t="shared" si="32"/>
        <v>344304.51299999998</v>
      </c>
      <c r="J76" s="461">
        <f t="shared" si="32"/>
        <v>2187291.8736</v>
      </c>
      <c r="K76" s="461">
        <f>SUM(K72:K75)</f>
        <v>26247502.483199999</v>
      </c>
    </row>
    <row r="77" spans="1:31">
      <c r="J77" s="461"/>
    </row>
    <row r="78" spans="1:31">
      <c r="J78" s="461"/>
    </row>
    <row r="79" spans="1:31">
      <c r="A79" s="364" t="s">
        <v>205</v>
      </c>
      <c r="J79" s="461"/>
    </row>
    <row r="81" spans="10:10">
      <c r="J81" s="461"/>
    </row>
  </sheetData>
  <mergeCells count="30">
    <mergeCell ref="A75:C75"/>
    <mergeCell ref="A34:A44"/>
    <mergeCell ref="B34:K34"/>
    <mergeCell ref="A49:A62"/>
    <mergeCell ref="C49:K49"/>
    <mergeCell ref="C50:C59"/>
    <mergeCell ref="A73:C73"/>
    <mergeCell ref="I16:I17"/>
    <mergeCell ref="J16:J17"/>
    <mergeCell ref="K16:K17"/>
    <mergeCell ref="B18:K18"/>
    <mergeCell ref="A74:B74"/>
    <mergeCell ref="A19:A33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G16:H16"/>
    <mergeCell ref="A7:K7"/>
    <mergeCell ref="I1:K1"/>
    <mergeCell ref="BS1:CJ1"/>
    <mergeCell ref="BU4:CJ4"/>
    <mergeCell ref="BU5:CJ5"/>
    <mergeCell ref="A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3" sqref="H23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BW81"/>
  <sheetViews>
    <sheetView workbookViewId="0">
      <selection activeCell="I29" sqref="I29"/>
    </sheetView>
  </sheetViews>
  <sheetFormatPr defaultRowHeight="12"/>
  <cols>
    <col min="1" max="1" width="14.7109375" style="1" customWidth="1"/>
    <col min="2" max="2" width="22.85546875" style="1" customWidth="1"/>
    <col min="3" max="3" width="8" style="1" hidden="1" customWidth="1"/>
    <col min="4" max="4" width="7.28515625" style="1" customWidth="1"/>
    <col min="5" max="5" width="11.42578125" style="1" customWidth="1"/>
    <col min="6" max="6" width="12.140625" style="1" customWidth="1"/>
    <col min="7" max="7" width="11.28515625" style="1" customWidth="1"/>
    <col min="8" max="8" width="11.7109375" style="1" customWidth="1"/>
    <col min="9" max="9" width="13.28515625" style="1" customWidth="1"/>
    <col min="10" max="10" width="13.5703125" style="1" customWidth="1"/>
    <col min="11" max="11" width="15" style="1" customWidth="1"/>
    <col min="12" max="12" width="14" style="1" hidden="1" customWidth="1"/>
    <col min="13" max="13" width="13.28515625" style="1" hidden="1" customWidth="1"/>
    <col min="14" max="14" width="12.7109375" style="1" hidden="1" customWidth="1"/>
    <col min="15" max="15" width="9.140625" style="1" hidden="1" customWidth="1"/>
    <col min="16" max="16" width="12.28515625" style="1" hidden="1" customWidth="1"/>
    <col min="17" max="17" width="12.7109375" style="1" hidden="1" customWidth="1"/>
    <col min="18" max="18" width="15.140625" style="1" hidden="1" customWidth="1"/>
    <col min="19" max="19" width="11.85546875" style="1" hidden="1" customWidth="1"/>
    <col min="20" max="20" width="15" style="1" hidden="1" customWidth="1"/>
    <col min="21" max="21" width="14" style="1" hidden="1" customWidth="1"/>
    <col min="22" max="22" width="11.28515625" style="1" hidden="1" customWidth="1"/>
    <col min="23" max="24" width="12.42578125" style="1" hidden="1" customWidth="1"/>
    <col min="25" max="25" width="12.28515625" style="1" hidden="1" customWidth="1"/>
    <col min="26" max="26" width="14.140625" style="1" hidden="1" customWidth="1"/>
    <col min="27" max="27" width="12.7109375" style="1" customWidth="1"/>
    <col min="28" max="28" width="9.140625" style="1" customWidth="1"/>
    <col min="29" max="29" width="6.85546875" style="1" customWidth="1"/>
    <col min="30" max="30" width="4" style="1" customWidth="1"/>
    <col min="31" max="36" width="9.140625" style="1" customWidth="1"/>
    <col min="37" max="37" width="11.5703125" style="1" customWidth="1"/>
    <col min="38" max="40" width="9.140625" style="1" customWidth="1"/>
    <col min="41" max="41" width="7.28515625" style="1" customWidth="1"/>
    <col min="42" max="42" width="9.140625" style="1" customWidth="1"/>
    <col min="43" max="43" width="9.140625" style="1"/>
    <col min="44" max="44" width="12" style="1" customWidth="1"/>
    <col min="45" max="45" width="9.140625" style="1"/>
    <col min="46" max="54" width="9.140625" style="1" customWidth="1"/>
    <col min="55" max="55" width="11.5703125" style="1" customWidth="1"/>
    <col min="56" max="56" width="9.140625" style="1"/>
    <col min="57" max="57" width="11.7109375" style="1" customWidth="1"/>
    <col min="58" max="58" width="2.5703125" style="1" customWidth="1"/>
    <col min="59" max="59" width="13" style="1" customWidth="1"/>
    <col min="60" max="60" width="12.42578125" style="1" customWidth="1"/>
    <col min="61" max="61" width="5.140625" style="1" customWidth="1"/>
    <col min="62" max="75" width="9.140625" style="1" customWidth="1"/>
    <col min="76" max="16384" width="9.140625" style="1"/>
  </cols>
  <sheetData>
    <row r="1" spans="1:75" ht="47.25" customHeight="1">
      <c r="A1" s="293"/>
      <c r="B1" s="293"/>
      <c r="C1" s="293"/>
      <c r="D1" s="293"/>
      <c r="E1" s="293"/>
      <c r="F1" s="293"/>
      <c r="G1" s="293"/>
      <c r="H1" s="293"/>
      <c r="I1" s="1284" t="s">
        <v>0</v>
      </c>
      <c r="J1" s="1285"/>
      <c r="K1" s="1285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1288"/>
      <c r="BG1" s="1288"/>
      <c r="BH1" s="1288"/>
      <c r="BI1" s="1288"/>
      <c r="BJ1" s="1288"/>
      <c r="BK1" s="1288"/>
      <c r="BL1" s="1288"/>
      <c r="BM1" s="1288"/>
      <c r="BN1" s="1288"/>
      <c r="BO1" s="1288"/>
      <c r="BP1" s="1288"/>
      <c r="BQ1" s="1288"/>
      <c r="BR1" s="1288"/>
      <c r="BS1" s="1288"/>
      <c r="BT1" s="1288"/>
      <c r="BU1" s="1288"/>
      <c r="BV1" s="1288"/>
      <c r="BW1" s="1288"/>
    </row>
    <row r="2" spans="1:75">
      <c r="F2" s="293" t="s">
        <v>2</v>
      </c>
      <c r="G2" s="293"/>
      <c r="H2" s="294" t="s">
        <v>1</v>
      </c>
    </row>
    <row r="3" spans="1:75">
      <c r="F3" s="293"/>
      <c r="G3" s="293"/>
      <c r="H3" s="294" t="s">
        <v>162</v>
      </c>
    </row>
    <row r="4" spans="1:75">
      <c r="A4" s="293"/>
      <c r="B4" s="293"/>
      <c r="C4" s="293"/>
      <c r="D4" s="293"/>
      <c r="E4" s="293"/>
      <c r="F4" s="293" t="s">
        <v>4</v>
      </c>
      <c r="G4" s="293"/>
      <c r="H4" s="294" t="s">
        <v>187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1289"/>
      <c r="BI4" s="1289"/>
      <c r="BJ4" s="1289"/>
      <c r="BK4" s="1289"/>
      <c r="BL4" s="1289"/>
      <c r="BM4" s="1289"/>
      <c r="BN4" s="1289"/>
      <c r="BO4" s="1289"/>
      <c r="BP4" s="1289"/>
      <c r="BQ4" s="1289"/>
      <c r="BR4" s="1289"/>
      <c r="BS4" s="1289"/>
      <c r="BT4" s="1289"/>
      <c r="BU4" s="1289"/>
      <c r="BV4" s="1289"/>
      <c r="BW4" s="1289"/>
    </row>
    <row r="5" spans="1:75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1289"/>
      <c r="BI5" s="1289"/>
      <c r="BJ5" s="1289"/>
      <c r="BK5" s="1289"/>
      <c r="BL5" s="1289"/>
      <c r="BM5" s="1289"/>
      <c r="BN5" s="1289"/>
      <c r="BO5" s="1289"/>
      <c r="BP5" s="1289"/>
      <c r="BQ5" s="1289"/>
      <c r="BR5" s="1289"/>
      <c r="BS5" s="1289"/>
      <c r="BT5" s="1289"/>
      <c r="BU5" s="1289"/>
      <c r="BV5" s="1289"/>
      <c r="BW5" s="1289"/>
    </row>
    <row r="6" spans="1:75" ht="19.5" customHeight="1">
      <c r="A6" s="1418" t="s">
        <v>163</v>
      </c>
      <c r="B6" s="1402"/>
      <c r="C6" s="1402"/>
      <c r="D6" s="1402"/>
      <c r="E6" s="1402"/>
      <c r="F6" s="1402"/>
      <c r="G6" s="1402"/>
      <c r="H6" s="1402"/>
      <c r="I6" s="1402"/>
      <c r="J6" s="1402"/>
      <c r="K6" s="1402"/>
    </row>
    <row r="7" spans="1:75" ht="18" customHeight="1">
      <c r="A7" s="1418" t="s">
        <v>183</v>
      </c>
      <c r="B7" s="1402"/>
      <c r="C7" s="1402"/>
      <c r="D7" s="1402"/>
      <c r="E7" s="1402"/>
      <c r="F7" s="1402"/>
      <c r="G7" s="1402"/>
      <c r="H7" s="1402"/>
      <c r="I7" s="1402"/>
      <c r="J7" s="1402"/>
      <c r="K7" s="1402"/>
    </row>
    <row r="8" spans="1:75" ht="32.25" customHeight="1">
      <c r="A8" s="189"/>
      <c r="B8" s="189"/>
      <c r="C8" s="190"/>
      <c r="D8" s="190"/>
      <c r="E8" s="190"/>
      <c r="F8" s="190"/>
      <c r="G8" s="190"/>
      <c r="H8" s="190"/>
      <c r="I8" s="189"/>
      <c r="J8" s="189"/>
      <c r="K8" s="189"/>
    </row>
    <row r="9" spans="1:75" ht="28.5" customHeight="1">
      <c r="A9" s="189"/>
      <c r="B9" s="189"/>
      <c r="C9" s="190"/>
      <c r="D9" s="190"/>
      <c r="E9" s="1283" t="s">
        <v>9</v>
      </c>
      <c r="F9" s="1283"/>
      <c r="G9" s="1283" t="s">
        <v>10</v>
      </c>
      <c r="H9" s="1283"/>
      <c r="I9" s="189"/>
      <c r="J9" s="189"/>
      <c r="K9" s="189"/>
    </row>
    <row r="10" spans="1:75">
      <c r="B10" s="269" t="s">
        <v>11</v>
      </c>
      <c r="C10" s="190"/>
      <c r="D10" s="190"/>
      <c r="E10" s="1283">
        <v>2</v>
      </c>
      <c r="F10" s="1283"/>
      <c r="G10" s="1292" t="s">
        <v>353</v>
      </c>
      <c r="H10" s="1283"/>
      <c r="I10" s="189" t="s">
        <v>12</v>
      </c>
      <c r="J10" s="189"/>
      <c r="K10" s="189"/>
    </row>
    <row r="11" spans="1:75">
      <c r="A11" s="189"/>
      <c r="B11" s="189"/>
      <c r="C11" s="190"/>
      <c r="D11" s="190"/>
      <c r="E11" s="190"/>
      <c r="F11" s="190"/>
      <c r="G11" s="190"/>
      <c r="H11" s="190"/>
      <c r="I11" s="190" t="s">
        <v>13</v>
      </c>
      <c r="J11" s="190"/>
      <c r="K11" s="190"/>
    </row>
    <row r="12" spans="1:75">
      <c r="A12" s="190"/>
      <c r="B12" s="192" t="s">
        <v>220</v>
      </c>
      <c r="C12" s="190"/>
      <c r="D12" s="190"/>
      <c r="E12" s="190"/>
      <c r="F12" s="190"/>
      <c r="G12" s="190"/>
      <c r="H12" s="190"/>
      <c r="I12" s="190" t="s">
        <v>348</v>
      </c>
      <c r="J12" s="193"/>
      <c r="K12" s="190"/>
    </row>
    <row r="13" spans="1:75">
      <c r="A13" s="190"/>
      <c r="B13" s="190"/>
      <c r="C13" s="190"/>
      <c r="D13" s="190"/>
      <c r="E13" s="190"/>
      <c r="F13" s="190"/>
      <c r="G13" s="190"/>
      <c r="H13" s="190"/>
      <c r="I13" s="190" t="s">
        <v>141</v>
      </c>
      <c r="J13" s="193">
        <f>J68</f>
        <v>1247078.1117999998</v>
      </c>
      <c r="K13" s="190"/>
    </row>
    <row r="14" spans="1:75" ht="19.5" customHeight="1">
      <c r="A14" s="190"/>
      <c r="B14" s="194" t="s">
        <v>174</v>
      </c>
      <c r="C14" s="190"/>
      <c r="D14" s="421">
        <v>103</v>
      </c>
      <c r="E14" s="189"/>
      <c r="F14" s="189"/>
      <c r="G14" s="189"/>
      <c r="H14" s="190"/>
      <c r="I14" s="190" t="s">
        <v>15</v>
      </c>
      <c r="J14" s="190"/>
      <c r="K14" s="296">
        <f>D68</f>
        <v>41</v>
      </c>
    </row>
    <row r="15" spans="1:75" ht="18" customHeight="1">
      <c r="B15" s="196" t="s">
        <v>173</v>
      </c>
      <c r="D15" s="197">
        <v>7</v>
      </c>
      <c r="E15" s="198"/>
      <c r="F15" s="198"/>
      <c r="G15" s="198"/>
      <c r="K15" s="199" t="s">
        <v>16</v>
      </c>
    </row>
    <row r="16" spans="1:75">
      <c r="A16" s="1283" t="s">
        <v>17</v>
      </c>
      <c r="B16" s="1283" t="s">
        <v>18</v>
      </c>
      <c r="C16" s="1283" t="s">
        <v>19</v>
      </c>
      <c r="D16" s="1283" t="s">
        <v>20</v>
      </c>
      <c r="E16" s="1283" t="s">
        <v>21</v>
      </c>
      <c r="F16" s="1283" t="s">
        <v>5</v>
      </c>
      <c r="G16" s="1283" t="s">
        <v>6</v>
      </c>
      <c r="H16" s="1283"/>
      <c r="I16" s="1283" t="s">
        <v>7</v>
      </c>
      <c r="J16" s="1283" t="s">
        <v>22</v>
      </c>
      <c r="K16" s="1283" t="s">
        <v>362</v>
      </c>
    </row>
    <row r="17" spans="1:25" ht="45.75" customHeight="1">
      <c r="A17" s="1283"/>
      <c r="B17" s="1283"/>
      <c r="C17" s="1283"/>
      <c r="D17" s="1283"/>
      <c r="E17" s="1283"/>
      <c r="F17" s="1283"/>
      <c r="G17" s="407" t="s">
        <v>24</v>
      </c>
      <c r="H17" s="407" t="s">
        <v>25</v>
      </c>
      <c r="I17" s="1283"/>
      <c r="J17" s="1283"/>
      <c r="K17" s="1283"/>
    </row>
    <row r="18" spans="1:25" ht="28.5" customHeight="1">
      <c r="A18" s="200"/>
      <c r="B18" s="1277" t="s">
        <v>142</v>
      </c>
      <c r="C18" s="1278"/>
      <c r="D18" s="1278"/>
      <c r="E18" s="1278"/>
      <c r="F18" s="1278"/>
      <c r="G18" s="1278"/>
      <c r="H18" s="1278"/>
      <c r="I18" s="1278"/>
      <c r="J18" s="1278"/>
      <c r="K18" s="1278"/>
    </row>
    <row r="19" spans="1:25" ht="33" customHeight="1">
      <c r="A19" s="1279" t="s">
        <v>188</v>
      </c>
      <c r="B19" s="904" t="s">
        <v>165</v>
      </c>
      <c r="C19" s="905"/>
      <c r="D19" s="912">
        <v>1</v>
      </c>
      <c r="E19" s="913">
        <v>17894</v>
      </c>
      <c r="F19" s="914">
        <f>D19*E19</f>
        <v>17894</v>
      </c>
      <c r="G19" s="914">
        <f>F19*25%</f>
        <v>4473.5</v>
      </c>
      <c r="H19" s="914">
        <v>2684.1</v>
      </c>
      <c r="I19" s="915">
        <f>(F19+G19+H19)*60%</f>
        <v>15030.96</v>
      </c>
      <c r="J19" s="915">
        <f>F19+G19+H19+I19</f>
        <v>40082.559999999998</v>
      </c>
      <c r="K19" s="909">
        <f>J19*6</f>
        <v>240495.35999999999</v>
      </c>
    </row>
    <row r="20" spans="1:25" ht="31.5" hidden="1" customHeight="1">
      <c r="A20" s="1280"/>
      <c r="B20" s="904" t="s">
        <v>150</v>
      </c>
      <c r="C20" s="905"/>
      <c r="D20" s="916"/>
      <c r="E20" s="917"/>
      <c r="F20" s="914">
        <f>D20*E20</f>
        <v>0</v>
      </c>
      <c r="G20" s="909"/>
      <c r="H20" s="914"/>
      <c r="I20" s="915">
        <f t="shared" ref="I20:I27" si="0">(F20+G20+H20)*60%</f>
        <v>0</v>
      </c>
      <c r="J20" s="915">
        <f t="shared" ref="J20:J27" si="1">F20+G20+H20+I20</f>
        <v>0</v>
      </c>
      <c r="K20" s="909">
        <f t="shared" ref="K20:K28" si="2">J20*6</f>
        <v>0</v>
      </c>
    </row>
    <row r="21" spans="1:25" ht="38.25" hidden="1" customHeight="1">
      <c r="A21" s="1281"/>
      <c r="B21" s="904" t="s">
        <v>166</v>
      </c>
      <c r="C21" s="905"/>
      <c r="D21" s="905"/>
      <c r="E21" s="917"/>
      <c r="F21" s="914">
        <f>D21*E21</f>
        <v>0</v>
      </c>
      <c r="G21" s="909"/>
      <c r="H21" s="909"/>
      <c r="I21" s="915">
        <f t="shared" si="0"/>
        <v>0</v>
      </c>
      <c r="J21" s="915">
        <f t="shared" si="1"/>
        <v>0</v>
      </c>
      <c r="K21" s="909">
        <f t="shared" si="2"/>
        <v>0</v>
      </c>
    </row>
    <row r="22" spans="1:25" ht="63" hidden="1" customHeight="1">
      <c r="A22" s="1281"/>
      <c r="B22" s="918" t="s">
        <v>167</v>
      </c>
      <c r="C22" s="919"/>
      <c r="D22" s="919"/>
      <c r="E22" s="920"/>
      <c r="F22" s="914">
        <f t="shared" ref="F22:F28" si="3">D22*E22</f>
        <v>0</v>
      </c>
      <c r="G22" s="921"/>
      <c r="H22" s="921"/>
      <c r="I22" s="915">
        <f t="shared" si="0"/>
        <v>0</v>
      </c>
      <c r="J22" s="915">
        <f t="shared" si="1"/>
        <v>0</v>
      </c>
      <c r="K22" s="909">
        <f t="shared" si="2"/>
        <v>0</v>
      </c>
    </row>
    <row r="23" spans="1:25" ht="40.5" customHeight="1">
      <c r="A23" s="1281"/>
      <c r="B23" s="918" t="s">
        <v>357</v>
      </c>
      <c r="C23" s="919"/>
      <c r="D23" s="922">
        <v>0.5</v>
      </c>
      <c r="E23" s="920">
        <v>6742</v>
      </c>
      <c r="F23" s="914">
        <f t="shared" si="3"/>
        <v>3371</v>
      </c>
      <c r="G23" s="921">
        <v>842.75</v>
      </c>
      <c r="H23" s="921">
        <v>168.55</v>
      </c>
      <c r="I23" s="923">
        <f t="shared" si="0"/>
        <v>2629.38</v>
      </c>
      <c r="J23" s="923">
        <f t="shared" si="1"/>
        <v>7011.68</v>
      </c>
      <c r="K23" s="909">
        <f t="shared" si="2"/>
        <v>42070.080000000002</v>
      </c>
    </row>
    <row r="24" spans="1:25" ht="21.75" hidden="1" customHeight="1">
      <c r="A24" s="1281"/>
      <c r="B24" s="411" t="s">
        <v>169</v>
      </c>
      <c r="C24" s="209"/>
      <c r="D24" s="209"/>
      <c r="E24" s="210"/>
      <c r="F24" s="233">
        <f t="shared" si="3"/>
        <v>0</v>
      </c>
      <c r="G24" s="211"/>
      <c r="H24" s="211"/>
      <c r="I24" s="423">
        <f t="shared" si="0"/>
        <v>0</v>
      </c>
      <c r="J24" s="423">
        <f t="shared" si="1"/>
        <v>0</v>
      </c>
      <c r="K24" s="203">
        <f t="shared" si="2"/>
        <v>0</v>
      </c>
    </row>
    <row r="25" spans="1:25" ht="22.5" customHeight="1">
      <c r="A25" s="1281"/>
      <c r="B25" s="918" t="s">
        <v>143</v>
      </c>
      <c r="C25" s="919"/>
      <c r="D25" s="922">
        <v>8</v>
      </c>
      <c r="E25" s="920">
        <v>4305</v>
      </c>
      <c r="F25" s="942">
        <f t="shared" si="3"/>
        <v>34440</v>
      </c>
      <c r="G25" s="921"/>
      <c r="H25" s="921">
        <f>F25*25%</f>
        <v>8610</v>
      </c>
      <c r="I25" s="923">
        <f t="shared" si="0"/>
        <v>25830</v>
      </c>
      <c r="J25" s="923">
        <f t="shared" si="1"/>
        <v>68880</v>
      </c>
      <c r="K25" s="909">
        <f t="shared" si="2"/>
        <v>413280</v>
      </c>
    </row>
    <row r="26" spans="1:25" ht="20.25" hidden="1" customHeight="1">
      <c r="A26" s="1281"/>
      <c r="B26" s="410" t="s">
        <v>170</v>
      </c>
      <c r="C26" s="412"/>
      <c r="D26" s="412"/>
      <c r="E26" s="202"/>
      <c r="F26" s="203">
        <f t="shared" si="3"/>
        <v>0</v>
      </c>
      <c r="G26" s="203"/>
      <c r="H26" s="203"/>
      <c r="I26" s="422">
        <f t="shared" si="0"/>
        <v>0</v>
      </c>
      <c r="J26" s="422">
        <f t="shared" si="1"/>
        <v>0</v>
      </c>
      <c r="K26" s="203">
        <f t="shared" si="2"/>
        <v>0</v>
      </c>
    </row>
    <row r="27" spans="1:25" ht="20.25" customHeight="1">
      <c r="A27" s="1281"/>
      <c r="B27" s="904" t="s">
        <v>111</v>
      </c>
      <c r="C27" s="905"/>
      <c r="D27" s="905">
        <v>1</v>
      </c>
      <c r="E27" s="917">
        <v>4650</v>
      </c>
      <c r="F27" s="909">
        <f t="shared" si="3"/>
        <v>4650</v>
      </c>
      <c r="G27" s="909">
        <v>1162.5</v>
      </c>
      <c r="H27" s="909"/>
      <c r="I27" s="915">
        <f t="shared" si="0"/>
        <v>3487.5</v>
      </c>
      <c r="J27" s="915">
        <f t="shared" si="1"/>
        <v>9300</v>
      </c>
      <c r="K27" s="909">
        <f t="shared" si="2"/>
        <v>55800</v>
      </c>
    </row>
    <row r="28" spans="1:25" ht="20.25" customHeight="1" thickBot="1">
      <c r="A28" s="1281"/>
      <c r="B28" s="918" t="s">
        <v>74</v>
      </c>
      <c r="C28" s="919"/>
      <c r="D28" s="919">
        <v>1</v>
      </c>
      <c r="E28" s="920">
        <v>3813</v>
      </c>
      <c r="F28" s="921">
        <f t="shared" si="3"/>
        <v>3813</v>
      </c>
      <c r="G28" s="921"/>
      <c r="H28" s="921">
        <v>190.65</v>
      </c>
      <c r="I28" s="915">
        <f>(F28+G28+H28)*60%</f>
        <v>2402.19</v>
      </c>
      <c r="J28" s="915">
        <f>F28+G28+H28+I28</f>
        <v>6405.84</v>
      </c>
      <c r="K28" s="909">
        <f t="shared" si="2"/>
        <v>38435.040000000001</v>
      </c>
      <c r="Y28" s="911">
        <f>J23+J25+J27+J28</f>
        <v>91597.51999999999</v>
      </c>
    </row>
    <row r="29" spans="1:25" ht="24" customHeight="1" thickBot="1">
      <c r="A29" s="1281"/>
      <c r="B29" s="214"/>
      <c r="C29" s="215"/>
      <c r="D29" s="266">
        <f>SUM(D19:D28)</f>
        <v>11.5</v>
      </c>
      <c r="E29" s="216">
        <f t="shared" ref="E29:K29" si="4">SUM(E19:E28)</f>
        <v>37404</v>
      </c>
      <c r="F29" s="216">
        <f t="shared" si="4"/>
        <v>64168</v>
      </c>
      <c r="G29" s="216">
        <f t="shared" si="4"/>
        <v>6478.75</v>
      </c>
      <c r="H29" s="216">
        <f t="shared" si="4"/>
        <v>11653.3</v>
      </c>
      <c r="I29" s="216">
        <f t="shared" si="4"/>
        <v>49380.03</v>
      </c>
      <c r="J29" s="216">
        <f t="shared" si="4"/>
        <v>131680.07999999999</v>
      </c>
      <c r="K29" s="216">
        <f t="shared" si="4"/>
        <v>790080.48</v>
      </c>
      <c r="L29" s="2">
        <f>J23+J25+J27+J28</f>
        <v>91597.51999999999</v>
      </c>
      <c r="N29" s="258">
        <f>K19+K23+K27+K28</f>
        <v>376800.48</v>
      </c>
    </row>
    <row r="30" spans="1:25" ht="33" customHeight="1">
      <c r="A30" s="1281"/>
      <c r="B30" s="410" t="s">
        <v>171</v>
      </c>
      <c r="C30" s="279"/>
      <c r="D30" s="230"/>
      <c r="E30" s="230"/>
      <c r="F30" s="297"/>
      <c r="G30" s="297"/>
      <c r="H30" s="297"/>
      <c r="I30" s="297"/>
      <c r="J30" s="297">
        <f>J29*15%</f>
        <v>19752.011999999999</v>
      </c>
      <c r="K30" s="203">
        <f t="shared" ref="K30:K33" si="5">J30*6</f>
        <v>118512.07199999999</v>
      </c>
      <c r="X30" s="258">
        <f>K19+K23</f>
        <v>282565.44</v>
      </c>
    </row>
    <row r="31" spans="1:25" ht="24" hidden="1" customHeight="1">
      <c r="A31" s="1281"/>
      <c r="B31" s="411"/>
      <c r="C31" s="279"/>
      <c r="D31" s="230"/>
      <c r="E31" s="230"/>
      <c r="F31" s="297"/>
      <c r="G31" s="297"/>
      <c r="H31" s="297"/>
      <c r="I31" s="297"/>
      <c r="J31" s="297"/>
      <c r="K31" s="203">
        <f t="shared" si="5"/>
        <v>0</v>
      </c>
    </row>
    <row r="32" spans="1:25" ht="42.75" customHeight="1">
      <c r="A32" s="1281"/>
      <c r="B32" s="305" t="s">
        <v>78</v>
      </c>
      <c r="C32" s="412"/>
      <c r="D32" s="206"/>
      <c r="E32" s="206"/>
      <c r="F32" s="237"/>
      <c r="G32" s="237"/>
      <c r="H32" s="237"/>
      <c r="I32" s="237"/>
      <c r="J32" s="237">
        <v>165100</v>
      </c>
      <c r="K32" s="203">
        <f t="shared" si="5"/>
        <v>990600</v>
      </c>
      <c r="L32" s="2">
        <f>J23+J25+J27+J28</f>
        <v>91597.51999999999</v>
      </c>
    </row>
    <row r="33" spans="1:26" ht="29.25" customHeight="1" thickBot="1">
      <c r="A33" s="1281"/>
      <c r="B33" s="411" t="s">
        <v>172</v>
      </c>
      <c r="C33" s="209"/>
      <c r="D33" s="236"/>
      <c r="E33" s="236"/>
      <c r="F33" s="265"/>
      <c r="G33" s="265"/>
      <c r="H33" s="265"/>
      <c r="I33" s="265"/>
      <c r="J33" s="265">
        <v>43485.52</v>
      </c>
      <c r="K33" s="203">
        <f t="shared" si="5"/>
        <v>260913.12</v>
      </c>
    </row>
    <row r="34" spans="1:26" ht="24.75" thickBot="1">
      <c r="A34" s="1281"/>
      <c r="B34" s="224" t="s">
        <v>145</v>
      </c>
      <c r="C34" s="215"/>
      <c r="D34" s="222">
        <f>D29+D30+D32+D33</f>
        <v>11.5</v>
      </c>
      <c r="E34" s="222">
        <f t="shared" ref="E34:K34" si="6">E29+E30+E32+E33</f>
        <v>37404</v>
      </c>
      <c r="F34" s="222">
        <f t="shared" si="6"/>
        <v>64168</v>
      </c>
      <c r="G34" s="222">
        <f t="shared" si="6"/>
        <v>6478.75</v>
      </c>
      <c r="H34" s="222">
        <f t="shared" si="6"/>
        <v>11653.3</v>
      </c>
      <c r="I34" s="222">
        <f t="shared" si="6"/>
        <v>49380.03</v>
      </c>
      <c r="J34" s="222">
        <f t="shared" si="6"/>
        <v>360017.61199999996</v>
      </c>
      <c r="K34" s="226">
        <f t="shared" si="6"/>
        <v>2160105.6719999998</v>
      </c>
    </row>
    <row r="35" spans="1:26" ht="18" customHeight="1">
      <c r="A35" s="1282" t="s">
        <v>32</v>
      </c>
      <c r="B35" s="1277" t="s">
        <v>144</v>
      </c>
      <c r="C35" s="1278"/>
      <c r="D35" s="1278"/>
      <c r="E35" s="1278"/>
      <c r="F35" s="1278"/>
      <c r="G35" s="1278"/>
      <c r="H35" s="1278"/>
      <c r="I35" s="1278"/>
      <c r="J35" s="1278"/>
      <c r="K35" s="1278"/>
    </row>
    <row r="36" spans="1:26" ht="17.25" customHeight="1">
      <c r="A36" s="1420"/>
      <c r="B36" s="904" t="s">
        <v>146</v>
      </c>
      <c r="C36" s="905" t="s">
        <v>36</v>
      </c>
      <c r="D36" s="916">
        <v>3</v>
      </c>
      <c r="E36" s="917">
        <v>8168</v>
      </c>
      <c r="F36" s="909">
        <v>27771.200000000001</v>
      </c>
      <c r="G36" s="909">
        <v>6126</v>
      </c>
      <c r="H36" s="909">
        <v>7464.4</v>
      </c>
      <c r="I36" s="915">
        <f>(F36+G36+H36)*60%</f>
        <v>24816.959999999999</v>
      </c>
      <c r="J36" s="915">
        <f>F36+G36+H36+I36</f>
        <v>66178.559999999998</v>
      </c>
      <c r="K36" s="909">
        <f>J36*6</f>
        <v>397071.35999999999</v>
      </c>
    </row>
    <row r="37" spans="1:26" ht="18" customHeight="1">
      <c r="A37" s="1420"/>
      <c r="B37" s="904" t="s">
        <v>146</v>
      </c>
      <c r="C37" s="905"/>
      <c r="D37" s="916">
        <v>7.5</v>
      </c>
      <c r="E37" s="917">
        <v>7171</v>
      </c>
      <c r="F37" s="909">
        <v>62029.15</v>
      </c>
      <c r="G37" s="909">
        <v>13445.63</v>
      </c>
      <c r="H37" s="909">
        <v>14710.3</v>
      </c>
      <c r="I37" s="915">
        <f>(F37+G37+H37)*60%</f>
        <v>54111.048000000003</v>
      </c>
      <c r="J37" s="915">
        <f>F37+G37+H37+I37</f>
        <v>144296.128</v>
      </c>
      <c r="K37" s="909">
        <f t="shared" ref="K37:K44" si="7">J37*6</f>
        <v>865776.76799999992</v>
      </c>
    </row>
    <row r="38" spans="1:26" ht="29.25" customHeight="1">
      <c r="A38" s="1420"/>
      <c r="B38" s="904" t="s">
        <v>147</v>
      </c>
      <c r="C38" s="905" t="s">
        <v>34</v>
      </c>
      <c r="D38" s="906">
        <v>1.75</v>
      </c>
      <c r="E38" s="907">
        <v>6255</v>
      </c>
      <c r="F38" s="907">
        <v>10946.25</v>
      </c>
      <c r="G38" s="907">
        <v>2736.57</v>
      </c>
      <c r="H38" s="907">
        <v>547.32000000000005</v>
      </c>
      <c r="I38" s="908">
        <f t="shared" ref="I38:I44" si="8">(F38+G38+H38)*60%</f>
        <v>8538.0839999999989</v>
      </c>
      <c r="J38" s="908">
        <f>F38+G38+H38+I38</f>
        <v>22768.223999999998</v>
      </c>
      <c r="K38" s="909">
        <f t="shared" si="7"/>
        <v>136609.34399999998</v>
      </c>
      <c r="L38" s="2"/>
    </row>
    <row r="39" spans="1:26" ht="29.25" hidden="1" customHeight="1">
      <c r="A39" s="1420"/>
      <c r="B39" s="410" t="s">
        <v>147</v>
      </c>
      <c r="C39" s="412" t="s">
        <v>34</v>
      </c>
      <c r="D39" s="425"/>
      <c r="E39" s="264"/>
      <c r="F39" s="264"/>
      <c r="G39" s="264"/>
      <c r="H39" s="264"/>
      <c r="I39" s="424"/>
      <c r="J39" s="424"/>
      <c r="K39" s="203">
        <f t="shared" si="7"/>
        <v>0</v>
      </c>
      <c r="L39" s="2"/>
    </row>
    <row r="40" spans="1:26" ht="24" customHeight="1">
      <c r="A40" s="1421"/>
      <c r="B40" s="904" t="s">
        <v>44</v>
      </c>
      <c r="C40" s="905" t="s">
        <v>42</v>
      </c>
      <c r="D40" s="910">
        <v>1</v>
      </c>
      <c r="E40" s="907">
        <v>6255</v>
      </c>
      <c r="F40" s="907">
        <v>6255</v>
      </c>
      <c r="G40" s="907">
        <v>1563.75</v>
      </c>
      <c r="H40" s="907">
        <v>1563.75</v>
      </c>
      <c r="I40" s="907">
        <f t="shared" si="8"/>
        <v>5629.5</v>
      </c>
      <c r="J40" s="907">
        <f t="shared" ref="J40:J45" si="9">F40+G40+H40+I40</f>
        <v>15012</v>
      </c>
      <c r="K40" s="909">
        <f t="shared" si="7"/>
        <v>90072</v>
      </c>
    </row>
    <row r="41" spans="1:26" ht="15.75" customHeight="1">
      <c r="A41" s="1421"/>
      <c r="B41" s="899" t="s">
        <v>175</v>
      </c>
      <c r="C41" s="900" t="s">
        <v>29</v>
      </c>
      <c r="D41" s="901">
        <v>1</v>
      </c>
      <c r="E41" s="902">
        <v>8168</v>
      </c>
      <c r="F41" s="902">
        <v>8168</v>
      </c>
      <c r="G41" s="902">
        <v>2042</v>
      </c>
      <c r="H41" s="902">
        <v>2042</v>
      </c>
      <c r="I41" s="902">
        <f t="shared" si="8"/>
        <v>7351.2</v>
      </c>
      <c r="J41" s="902">
        <f t="shared" si="9"/>
        <v>19603.2</v>
      </c>
      <c r="K41" s="903">
        <f t="shared" si="7"/>
        <v>117619.20000000001</v>
      </c>
    </row>
    <row r="42" spans="1:26" ht="23.25" customHeight="1">
      <c r="A42" s="1421"/>
      <c r="B42" s="891" t="s">
        <v>176</v>
      </c>
      <c r="C42" s="892" t="s">
        <v>29</v>
      </c>
      <c r="D42" s="897">
        <v>1</v>
      </c>
      <c r="E42" s="894">
        <v>8942</v>
      </c>
      <c r="F42" s="894">
        <v>11177.5</v>
      </c>
      <c r="G42" s="894">
        <v>2235.5</v>
      </c>
      <c r="H42" s="894">
        <v>2235.5</v>
      </c>
      <c r="I42" s="898">
        <f t="shared" si="8"/>
        <v>9389.1</v>
      </c>
      <c r="J42" s="898">
        <f t="shared" si="9"/>
        <v>25037.599999999999</v>
      </c>
      <c r="K42" s="895">
        <f t="shared" si="7"/>
        <v>150225.59999999998</v>
      </c>
    </row>
    <row r="43" spans="1:26" s="896" customFormat="1" ht="13.5" customHeight="1">
      <c r="A43" s="1421"/>
      <c r="B43" s="891" t="s">
        <v>40</v>
      </c>
      <c r="C43" s="892" t="s">
        <v>34</v>
      </c>
      <c r="D43" s="893">
        <v>1</v>
      </c>
      <c r="E43" s="894">
        <v>8942</v>
      </c>
      <c r="F43" s="894">
        <v>8942</v>
      </c>
      <c r="G43" s="894">
        <v>4023.9</v>
      </c>
      <c r="H43" s="894">
        <v>2235.5</v>
      </c>
      <c r="I43" s="894">
        <f t="shared" si="8"/>
        <v>9120.84</v>
      </c>
      <c r="J43" s="894">
        <f t="shared" si="9"/>
        <v>24322.239999999998</v>
      </c>
      <c r="K43" s="895">
        <f t="shared" si="7"/>
        <v>145933.44</v>
      </c>
    </row>
    <row r="44" spans="1:26" ht="27" customHeight="1" thickBot="1">
      <c r="A44" s="1421"/>
      <c r="B44" s="904" t="s">
        <v>178</v>
      </c>
      <c r="C44" s="905" t="s">
        <v>36</v>
      </c>
      <c r="D44" s="924">
        <v>0.25</v>
      </c>
      <c r="E44" s="925">
        <v>8942</v>
      </c>
      <c r="F44" s="925">
        <v>2235.5</v>
      </c>
      <c r="G44" s="925">
        <v>558.88</v>
      </c>
      <c r="H44" s="925">
        <v>558.88</v>
      </c>
      <c r="I44" s="925">
        <f t="shared" si="8"/>
        <v>2011.9560000000001</v>
      </c>
      <c r="J44" s="925">
        <f t="shared" si="9"/>
        <v>5365.2160000000003</v>
      </c>
      <c r="K44" s="909">
        <f t="shared" si="7"/>
        <v>32191.296000000002</v>
      </c>
    </row>
    <row r="45" spans="1:26" ht="37.5" hidden="1" customHeight="1" thickBot="1">
      <c r="A45" s="1422"/>
      <c r="B45" s="904" t="s">
        <v>177</v>
      </c>
      <c r="C45" s="905" t="s">
        <v>42</v>
      </c>
      <c r="D45" s="924"/>
      <c r="E45" s="917"/>
      <c r="F45" s="926"/>
      <c r="G45" s="926"/>
      <c r="H45" s="926"/>
      <c r="I45" s="926"/>
      <c r="J45" s="926">
        <f t="shared" si="9"/>
        <v>0</v>
      </c>
      <c r="K45" s="909">
        <f t="shared" ref="K45" si="10">J45*12</f>
        <v>0</v>
      </c>
    </row>
    <row r="46" spans="1:26" ht="24" customHeight="1" thickBot="1">
      <c r="A46" s="241"/>
      <c r="B46" s="927"/>
      <c r="C46" s="928"/>
      <c r="D46" s="929">
        <f t="shared" ref="D46:K46" si="11">SUM(D36:D45)</f>
        <v>16.5</v>
      </c>
      <c r="E46" s="929">
        <f t="shared" si="11"/>
        <v>62843</v>
      </c>
      <c r="F46" s="929">
        <f t="shared" si="11"/>
        <v>137524.6</v>
      </c>
      <c r="G46" s="929">
        <f t="shared" si="11"/>
        <v>32732.23</v>
      </c>
      <c r="H46" s="929">
        <f t="shared" si="11"/>
        <v>31357.649999999998</v>
      </c>
      <c r="I46" s="929">
        <f t="shared" si="11"/>
        <v>120968.68800000001</v>
      </c>
      <c r="J46" s="929">
        <f t="shared" si="11"/>
        <v>322583.16799999995</v>
      </c>
      <c r="K46" s="930">
        <f t="shared" si="11"/>
        <v>1935499.0079999999</v>
      </c>
      <c r="L46" s="2"/>
    </row>
    <row r="47" spans="1:26" ht="24.75" customHeight="1">
      <c r="A47" s="260"/>
      <c r="B47" s="931" t="s">
        <v>172</v>
      </c>
      <c r="C47" s="932"/>
      <c r="D47" s="933"/>
      <c r="E47" s="933"/>
      <c r="F47" s="933"/>
      <c r="G47" s="933"/>
      <c r="H47" s="933"/>
      <c r="I47" s="933"/>
      <c r="J47" s="934">
        <v>39241.33</v>
      </c>
      <c r="K47" s="909">
        <f>J47*6</f>
        <v>235447.98</v>
      </c>
      <c r="L47" s="2"/>
    </row>
    <row r="48" spans="1:26" ht="19.5" customHeight="1" thickBot="1">
      <c r="A48" s="247"/>
      <c r="B48" s="918" t="s">
        <v>171</v>
      </c>
      <c r="C48" s="935"/>
      <c r="D48" s="936"/>
      <c r="E48" s="937"/>
      <c r="F48" s="937"/>
      <c r="G48" s="937"/>
      <c r="H48" s="937"/>
      <c r="I48" s="937"/>
      <c r="J48" s="938">
        <v>207425</v>
      </c>
      <c r="K48" s="909">
        <f>J48*6</f>
        <v>1244550</v>
      </c>
      <c r="L48" s="258"/>
      <c r="O48" s="259"/>
      <c r="X48" s="258">
        <f>K46+K48</f>
        <v>3180049.0079999999</v>
      </c>
      <c r="Y48" s="1">
        <f>X48/6</f>
        <v>530008.16799999995</v>
      </c>
      <c r="Z48" s="259">
        <f>Y48*12</f>
        <v>6360098.0159999989</v>
      </c>
    </row>
    <row r="49" spans="1:28" ht="36.75" thickBot="1">
      <c r="A49" s="304"/>
      <c r="B49" s="939" t="s">
        <v>148</v>
      </c>
      <c r="C49" s="928"/>
      <c r="D49" s="940">
        <f t="shared" ref="D49:I49" si="12">D46+D47+D48</f>
        <v>16.5</v>
      </c>
      <c r="E49" s="940">
        <f t="shared" si="12"/>
        <v>62843</v>
      </c>
      <c r="F49" s="940">
        <f t="shared" si="12"/>
        <v>137524.6</v>
      </c>
      <c r="G49" s="940">
        <f t="shared" si="12"/>
        <v>32732.23</v>
      </c>
      <c r="H49" s="940">
        <f t="shared" si="12"/>
        <v>31357.649999999998</v>
      </c>
      <c r="I49" s="940">
        <f t="shared" si="12"/>
        <v>120968.68800000001</v>
      </c>
      <c r="J49" s="940">
        <f>J46+J47+J48</f>
        <v>569249.49799999991</v>
      </c>
      <c r="K49" s="941">
        <f>K46+K47+K48</f>
        <v>3415496.9879999999</v>
      </c>
      <c r="M49" s="258"/>
      <c r="Z49" s="911">
        <f>K47+Z48</f>
        <v>6595545.9959999993</v>
      </c>
    </row>
    <row r="50" spans="1:28" ht="33.75" customHeight="1">
      <c r="A50" s="1423" t="s">
        <v>81</v>
      </c>
      <c r="B50" s="409"/>
      <c r="C50" s="1271" t="s">
        <v>80</v>
      </c>
      <c r="D50" s="1272"/>
      <c r="E50" s="1272"/>
      <c r="F50" s="1272"/>
      <c r="G50" s="1272"/>
      <c r="H50" s="1272"/>
      <c r="I50" s="1272"/>
      <c r="J50" s="1272"/>
      <c r="K50" s="1272"/>
      <c r="L50" s="2"/>
      <c r="M50" s="2"/>
      <c r="N50" s="2"/>
    </row>
    <row r="51" spans="1:28" ht="30" hidden="1" customHeight="1">
      <c r="A51" s="1273"/>
      <c r="B51" s="410" t="s">
        <v>95</v>
      </c>
      <c r="C51" s="1274" t="s">
        <v>83</v>
      </c>
      <c r="D51" s="230"/>
      <c r="E51" s="271"/>
      <c r="F51" s="271">
        <f>D51*E51</f>
        <v>0</v>
      </c>
      <c r="G51" s="271"/>
      <c r="H51" s="271">
        <f>F51*25%</f>
        <v>0</v>
      </c>
      <c r="I51" s="426">
        <f>(F51+G51+H51)*60%</f>
        <v>0</v>
      </c>
      <c r="J51" s="426">
        <f t="shared" ref="J51:J62" si="13">F51+G51+H51+I51</f>
        <v>0</v>
      </c>
      <c r="K51" s="263">
        <f>J51*7</f>
        <v>0</v>
      </c>
    </row>
    <row r="52" spans="1:28" ht="24" customHeight="1">
      <c r="A52" s="1273"/>
      <c r="B52" s="410" t="s">
        <v>93</v>
      </c>
      <c r="C52" s="1275"/>
      <c r="D52" s="427">
        <v>2</v>
      </c>
      <c r="E52" s="943">
        <v>3275</v>
      </c>
      <c r="F52" s="271">
        <f>D52*E52</f>
        <v>6550</v>
      </c>
      <c r="G52" s="263">
        <f>F52*4%</f>
        <v>262</v>
      </c>
      <c r="H52" s="428">
        <f>F52*25%</f>
        <v>1637.5</v>
      </c>
      <c r="I52" s="426">
        <f>(F52+G52+H52)*60%</f>
        <v>5069.7</v>
      </c>
      <c r="J52" s="426">
        <f t="shared" si="13"/>
        <v>13519.2</v>
      </c>
      <c r="K52" s="203">
        <f>J52*6</f>
        <v>81115.200000000012</v>
      </c>
      <c r="L52" s="2"/>
      <c r="M52" s="2"/>
      <c r="N52" s="2"/>
    </row>
    <row r="53" spans="1:28" ht="27" customHeight="1">
      <c r="A53" s="1273"/>
      <c r="B53" s="410" t="s">
        <v>93</v>
      </c>
      <c r="C53" s="1275"/>
      <c r="D53" s="206">
        <v>1</v>
      </c>
      <c r="E53" s="944">
        <v>3813</v>
      </c>
      <c r="F53" s="271">
        <f>D53*E53</f>
        <v>3813</v>
      </c>
      <c r="G53" s="263">
        <f>F53*4%</f>
        <v>152.52000000000001</v>
      </c>
      <c r="H53" s="428">
        <f>F53*25%</f>
        <v>953.25</v>
      </c>
      <c r="I53" s="426">
        <f>(F53+G53+H53)*60%</f>
        <v>2951.2620000000002</v>
      </c>
      <c r="J53" s="272">
        <f t="shared" si="13"/>
        <v>7870.0320000000011</v>
      </c>
      <c r="K53" s="203">
        <f t="shared" ref="K53:K61" si="14">J53*6</f>
        <v>47220.19200000001</v>
      </c>
    </row>
    <row r="54" spans="1:28" ht="35.25" customHeight="1">
      <c r="A54" s="1273"/>
      <c r="B54" s="410" t="s">
        <v>186</v>
      </c>
      <c r="C54" s="1275"/>
      <c r="D54" s="412">
        <v>1</v>
      </c>
      <c r="E54" s="943">
        <v>3275</v>
      </c>
      <c r="F54" s="271">
        <f>D54*E54</f>
        <v>3275</v>
      </c>
      <c r="G54" s="263"/>
      <c r="H54" s="263">
        <f>F54*25%</f>
        <v>818.75</v>
      </c>
      <c r="I54" s="426">
        <f>(F54+G54+H54)*60%</f>
        <v>2456.25</v>
      </c>
      <c r="J54" s="272">
        <f t="shared" si="13"/>
        <v>6550</v>
      </c>
      <c r="K54" s="203">
        <f t="shared" si="14"/>
        <v>39300</v>
      </c>
      <c r="L54" s="2"/>
      <c r="M54" s="2"/>
      <c r="N54" s="2"/>
    </row>
    <row r="55" spans="1:28" ht="25.5" customHeight="1">
      <c r="A55" s="1273"/>
      <c r="B55" s="410" t="s">
        <v>87</v>
      </c>
      <c r="C55" s="1275"/>
      <c r="D55" s="412">
        <v>1</v>
      </c>
      <c r="E55" s="945">
        <v>3275</v>
      </c>
      <c r="F55" s="119">
        <f t="shared" ref="F55:F61" si="15">D55*E55</f>
        <v>3275</v>
      </c>
      <c r="G55" s="429"/>
      <c r="H55" s="263">
        <f t="shared" ref="H55:H61" si="16">F55*25%</f>
        <v>818.75</v>
      </c>
      <c r="I55" s="398">
        <f t="shared" ref="I55:I62" si="17">(F55+G55+H55)*60%</f>
        <v>2456.25</v>
      </c>
      <c r="J55" s="398">
        <f t="shared" si="13"/>
        <v>6550</v>
      </c>
      <c r="K55" s="203">
        <f t="shared" si="14"/>
        <v>39300</v>
      </c>
    </row>
    <row r="56" spans="1:28" ht="28.5" customHeight="1">
      <c r="A56" s="1273"/>
      <c r="B56" s="410" t="s">
        <v>107</v>
      </c>
      <c r="C56" s="1275"/>
      <c r="D56" s="206">
        <v>1</v>
      </c>
      <c r="E56" s="946">
        <v>3275</v>
      </c>
      <c r="F56" s="119">
        <f t="shared" si="15"/>
        <v>3275</v>
      </c>
      <c r="G56" s="263">
        <f>F56*4%</f>
        <v>131</v>
      </c>
      <c r="H56" s="263">
        <f t="shared" si="16"/>
        <v>818.75</v>
      </c>
      <c r="I56" s="398">
        <f t="shared" si="17"/>
        <v>2534.85</v>
      </c>
      <c r="J56" s="398">
        <f t="shared" si="13"/>
        <v>6759.6</v>
      </c>
      <c r="K56" s="203">
        <f t="shared" si="14"/>
        <v>40557.600000000006</v>
      </c>
      <c r="L56" s="2"/>
      <c r="M56" s="2"/>
      <c r="N56" s="2"/>
      <c r="T56" s="2"/>
      <c r="AA56" s="1" t="s">
        <v>392</v>
      </c>
      <c r="AB56" s="1">
        <v>0.8</v>
      </c>
    </row>
    <row r="57" spans="1:28" ht="22.5" customHeight="1">
      <c r="A57" s="1273"/>
      <c r="B57" s="410" t="s">
        <v>180</v>
      </c>
      <c r="C57" s="1275"/>
      <c r="D57" s="206">
        <v>1</v>
      </c>
      <c r="E57" s="947">
        <v>3275</v>
      </c>
      <c r="F57" s="119">
        <f t="shared" si="15"/>
        <v>3275</v>
      </c>
      <c r="G57" s="429"/>
      <c r="H57" s="263">
        <f t="shared" si="16"/>
        <v>818.75</v>
      </c>
      <c r="I57" s="398">
        <f t="shared" si="17"/>
        <v>2456.25</v>
      </c>
      <c r="J57" s="398">
        <f t="shared" si="13"/>
        <v>6550</v>
      </c>
      <c r="K57" s="203">
        <f t="shared" si="14"/>
        <v>39300</v>
      </c>
      <c r="T57" s="2"/>
      <c r="AA57" s="1" t="s">
        <v>393</v>
      </c>
      <c r="AB57" s="1">
        <v>0.8</v>
      </c>
    </row>
    <row r="58" spans="1:28" ht="24">
      <c r="A58" s="1273"/>
      <c r="B58" s="410" t="s">
        <v>85</v>
      </c>
      <c r="C58" s="1275"/>
      <c r="D58" s="206">
        <v>1</v>
      </c>
      <c r="E58" s="948">
        <v>3275</v>
      </c>
      <c r="F58" s="119">
        <f t="shared" si="15"/>
        <v>3275</v>
      </c>
      <c r="G58" s="203"/>
      <c r="H58" s="263">
        <f t="shared" si="16"/>
        <v>818.75</v>
      </c>
      <c r="I58" s="272">
        <f t="shared" si="17"/>
        <v>2456.25</v>
      </c>
      <c r="J58" s="272">
        <f t="shared" si="13"/>
        <v>6550</v>
      </c>
      <c r="K58" s="203">
        <f t="shared" si="14"/>
        <v>39300</v>
      </c>
      <c r="L58" s="2"/>
      <c r="M58" s="2"/>
      <c r="N58" s="2"/>
      <c r="T58" s="2"/>
    </row>
    <row r="59" spans="1:28" ht="33" customHeight="1">
      <c r="A59" s="1273"/>
      <c r="B59" s="410" t="s">
        <v>181</v>
      </c>
      <c r="C59" s="1275"/>
      <c r="D59" s="237">
        <v>1</v>
      </c>
      <c r="E59" s="947">
        <v>3275</v>
      </c>
      <c r="F59" s="119">
        <f t="shared" si="15"/>
        <v>3275</v>
      </c>
      <c r="G59" s="429"/>
      <c r="H59" s="263">
        <f t="shared" si="16"/>
        <v>818.75</v>
      </c>
      <c r="I59" s="398">
        <f t="shared" si="17"/>
        <v>2456.25</v>
      </c>
      <c r="J59" s="398">
        <f t="shared" si="13"/>
        <v>6550</v>
      </c>
      <c r="K59" s="203">
        <f t="shared" si="14"/>
        <v>39300</v>
      </c>
      <c r="L59" s="2"/>
      <c r="M59" s="2"/>
      <c r="N59" s="2"/>
      <c r="T59" s="2"/>
    </row>
    <row r="60" spans="1:28" ht="20.25" customHeight="1">
      <c r="A60" s="1273"/>
      <c r="B60" s="410" t="s">
        <v>82</v>
      </c>
      <c r="C60" s="1275"/>
      <c r="D60" s="412">
        <v>3</v>
      </c>
      <c r="E60" s="947">
        <v>3275</v>
      </c>
      <c r="F60" s="119">
        <f t="shared" si="15"/>
        <v>9825</v>
      </c>
      <c r="G60" s="429">
        <f>F60/160*120*35%</f>
        <v>2579.0625</v>
      </c>
      <c r="H60" s="263">
        <f t="shared" si="16"/>
        <v>2456.25</v>
      </c>
      <c r="I60" s="272">
        <f t="shared" si="17"/>
        <v>8916.1875</v>
      </c>
      <c r="J60" s="272">
        <f t="shared" si="13"/>
        <v>23776.5</v>
      </c>
      <c r="K60" s="203">
        <f t="shared" si="14"/>
        <v>142659</v>
      </c>
      <c r="L60" s="2"/>
      <c r="M60" s="2"/>
      <c r="N60" s="2"/>
      <c r="T60" s="2"/>
    </row>
    <row r="61" spans="1:28" ht="24" customHeight="1" thickBot="1">
      <c r="A61" s="1273"/>
      <c r="B61" s="410" t="s">
        <v>88</v>
      </c>
      <c r="C61" s="412" t="s">
        <v>90</v>
      </c>
      <c r="D61" s="430">
        <v>1</v>
      </c>
      <c r="E61" s="949">
        <v>3275</v>
      </c>
      <c r="F61" s="431">
        <f t="shared" si="15"/>
        <v>3275</v>
      </c>
      <c r="G61" s="429"/>
      <c r="H61" s="263">
        <f t="shared" si="16"/>
        <v>818.75</v>
      </c>
      <c r="I61" s="432">
        <f t="shared" si="17"/>
        <v>2456.25</v>
      </c>
      <c r="J61" s="432">
        <f t="shared" si="13"/>
        <v>6550</v>
      </c>
      <c r="K61" s="203">
        <f t="shared" si="14"/>
        <v>39300</v>
      </c>
      <c r="L61" s="2"/>
    </row>
    <row r="62" spans="1:28" ht="30.75" hidden="1" customHeight="1" thickBot="1">
      <c r="A62" s="1424"/>
      <c r="B62" s="411" t="s">
        <v>182</v>
      </c>
      <c r="C62" s="209" t="s">
        <v>92</v>
      </c>
      <c r="D62" s="209"/>
      <c r="E62" s="433"/>
      <c r="F62" s="232"/>
      <c r="G62" s="211"/>
      <c r="H62" s="211"/>
      <c r="I62" s="434">
        <f t="shared" si="17"/>
        <v>0</v>
      </c>
      <c r="J62" s="434">
        <f t="shared" si="13"/>
        <v>0</v>
      </c>
      <c r="K62" s="211">
        <f>J62*7</f>
        <v>0</v>
      </c>
    </row>
    <row r="63" spans="1:28" ht="16.5" customHeight="1" thickBot="1">
      <c r="A63" s="214"/>
      <c r="B63" s="220" t="s">
        <v>68</v>
      </c>
      <c r="C63" s="215"/>
      <c r="D63" s="222">
        <f t="shared" ref="D63:K63" si="18">SUM(D51:D62)</f>
        <v>13</v>
      </c>
      <c r="E63" s="221">
        <f t="shared" si="18"/>
        <v>33288</v>
      </c>
      <c r="F63" s="222">
        <f t="shared" si="18"/>
        <v>43113</v>
      </c>
      <c r="G63" s="222">
        <f t="shared" si="18"/>
        <v>3124.5825</v>
      </c>
      <c r="H63" s="222">
        <f t="shared" si="18"/>
        <v>10778.25</v>
      </c>
      <c r="I63" s="221">
        <f t="shared" si="18"/>
        <v>34209.499499999998</v>
      </c>
      <c r="J63" s="222">
        <f t="shared" si="18"/>
        <v>91225.331999999995</v>
      </c>
      <c r="K63" s="310">
        <f t="shared" si="18"/>
        <v>547351.99200000009</v>
      </c>
    </row>
    <row r="64" spans="1:28" ht="22.5" customHeight="1">
      <c r="A64" s="408"/>
      <c r="B64" s="306" t="s">
        <v>56</v>
      </c>
      <c r="C64" s="279"/>
      <c r="D64" s="435"/>
      <c r="E64" s="379"/>
      <c r="F64" s="379"/>
      <c r="G64" s="379"/>
      <c r="H64" s="379"/>
      <c r="I64" s="379"/>
      <c r="J64" s="272">
        <f>J63*15%</f>
        <v>13683.799799999999</v>
      </c>
      <c r="K64" s="203">
        <f>J64*6</f>
        <v>82102.79879999999</v>
      </c>
      <c r="T64" s="2"/>
    </row>
    <row r="65" spans="1:16" ht="48" customHeight="1">
      <c r="A65" s="410"/>
      <c r="B65" s="309" t="s">
        <v>78</v>
      </c>
      <c r="C65" s="412"/>
      <c r="D65" s="436"/>
      <c r="E65" s="437"/>
      <c r="F65" s="437"/>
      <c r="G65" s="437"/>
      <c r="H65" s="437"/>
      <c r="I65" s="437"/>
      <c r="J65" s="237">
        <v>212901.87</v>
      </c>
      <c r="K65" s="203">
        <f t="shared" ref="K65" si="19">J65*6</f>
        <v>1277411.22</v>
      </c>
    </row>
    <row r="66" spans="1:16" ht="29.25" customHeight="1">
      <c r="A66" s="410"/>
      <c r="B66" s="409" t="s">
        <v>172</v>
      </c>
      <c r="C66" s="412"/>
      <c r="D66" s="436"/>
      <c r="E66" s="437"/>
      <c r="F66" s="437"/>
      <c r="G66" s="437"/>
      <c r="H66" s="437"/>
      <c r="I66" s="437"/>
      <c r="J66" s="437"/>
      <c r="K66" s="203">
        <v>133344</v>
      </c>
    </row>
    <row r="67" spans="1:16" ht="20.25" customHeight="1" thickBot="1">
      <c r="A67" s="307"/>
      <c r="B67" s="308" t="s">
        <v>103</v>
      </c>
      <c r="C67" s="298"/>
      <c r="D67" s="299">
        <f t="shared" ref="D67:K67" si="20">D63+D64+D65+D66</f>
        <v>13</v>
      </c>
      <c r="E67" s="299">
        <f t="shared" si="20"/>
        <v>33288</v>
      </c>
      <c r="F67" s="299">
        <f t="shared" si="20"/>
        <v>43113</v>
      </c>
      <c r="G67" s="299">
        <f t="shared" si="20"/>
        <v>3124.5825</v>
      </c>
      <c r="H67" s="299">
        <f t="shared" si="20"/>
        <v>10778.25</v>
      </c>
      <c r="I67" s="299">
        <f t="shared" si="20"/>
        <v>34209.499499999998</v>
      </c>
      <c r="J67" s="299">
        <f t="shared" si="20"/>
        <v>317811.00179999997</v>
      </c>
      <c r="K67" s="299">
        <f t="shared" si="20"/>
        <v>2040210.0108</v>
      </c>
      <c r="L67" s="259"/>
    </row>
    <row r="68" spans="1:16" ht="31.5" customHeight="1" thickBot="1">
      <c r="B68" s="301" t="s">
        <v>149</v>
      </c>
      <c r="C68" s="302"/>
      <c r="D68" s="303">
        <f>D34+D49+D67</f>
        <v>41</v>
      </c>
      <c r="E68" s="303">
        <f t="shared" ref="E68:K68" si="21">E34+E49+E67</f>
        <v>133535</v>
      </c>
      <c r="F68" s="303">
        <f t="shared" si="21"/>
        <v>244805.6</v>
      </c>
      <c r="G68" s="303">
        <f t="shared" si="21"/>
        <v>42335.562499999993</v>
      </c>
      <c r="H68" s="303">
        <f t="shared" si="21"/>
        <v>53789.2</v>
      </c>
      <c r="I68" s="303">
        <f t="shared" si="21"/>
        <v>204558.2175</v>
      </c>
      <c r="J68" s="303">
        <f t="shared" si="21"/>
        <v>1247078.1117999998</v>
      </c>
      <c r="K68" s="303">
        <f t="shared" si="21"/>
        <v>7615812.6708000004</v>
      </c>
    </row>
    <row r="70" spans="1:16">
      <c r="B70" s="252" t="s">
        <v>99</v>
      </c>
      <c r="H70" s="252" t="s">
        <v>127</v>
      </c>
      <c r="K70" s="253"/>
    </row>
    <row r="71" spans="1:16">
      <c r="J71" s="254"/>
    </row>
    <row r="72" spans="1:16">
      <c r="D72" s="258"/>
    </row>
    <row r="73" spans="1:16" ht="28.5" customHeight="1">
      <c r="A73" s="1269" t="s">
        <v>151</v>
      </c>
      <c r="B73" s="1270"/>
      <c r="C73" s="1270"/>
      <c r="D73" s="242">
        <f>D34</f>
        <v>11.5</v>
      </c>
      <c r="E73" s="242">
        <f t="shared" ref="E73:K73" si="22">E34</f>
        <v>37404</v>
      </c>
      <c r="F73" s="242">
        <f t="shared" si="22"/>
        <v>64168</v>
      </c>
      <c r="G73" s="242">
        <f t="shared" si="22"/>
        <v>6478.75</v>
      </c>
      <c r="H73" s="242">
        <f t="shared" si="22"/>
        <v>11653.3</v>
      </c>
      <c r="I73" s="242">
        <f t="shared" si="22"/>
        <v>49380.03</v>
      </c>
      <c r="J73" s="242">
        <f t="shared" si="22"/>
        <v>360017.61199999996</v>
      </c>
      <c r="K73" s="242">
        <f t="shared" si="22"/>
        <v>2160105.6719999998</v>
      </c>
      <c r="P73" s="259"/>
    </row>
    <row r="74" spans="1:16" ht="30" customHeight="1">
      <c r="A74" s="1314" t="s">
        <v>153</v>
      </c>
      <c r="B74" s="1419"/>
      <c r="C74" s="256"/>
      <c r="D74" s="242">
        <f>D49</f>
        <v>16.5</v>
      </c>
      <c r="E74" s="242">
        <f t="shared" ref="E74:K74" si="23">E49</f>
        <v>62843</v>
      </c>
      <c r="F74" s="242">
        <f t="shared" si="23"/>
        <v>137524.6</v>
      </c>
      <c r="G74" s="242">
        <f t="shared" si="23"/>
        <v>32732.23</v>
      </c>
      <c r="H74" s="242">
        <f t="shared" si="23"/>
        <v>31357.649999999998</v>
      </c>
      <c r="I74" s="242">
        <f t="shared" si="23"/>
        <v>120968.68800000001</v>
      </c>
      <c r="J74" s="242">
        <f t="shared" si="23"/>
        <v>569249.49799999991</v>
      </c>
      <c r="K74" s="242">
        <f t="shared" si="23"/>
        <v>3415496.9879999999</v>
      </c>
    </row>
    <row r="75" spans="1:16" ht="25.5" customHeight="1">
      <c r="A75" s="1276" t="s">
        <v>152</v>
      </c>
      <c r="B75" s="1275"/>
      <c r="C75" s="1275"/>
      <c r="D75" s="257">
        <f>D67</f>
        <v>13</v>
      </c>
      <c r="E75" s="257">
        <f t="shared" ref="E75:K75" si="24">E67</f>
        <v>33288</v>
      </c>
      <c r="F75" s="257">
        <f t="shared" si="24"/>
        <v>43113</v>
      </c>
      <c r="G75" s="257">
        <f t="shared" si="24"/>
        <v>3124.5825</v>
      </c>
      <c r="H75" s="257">
        <f t="shared" si="24"/>
        <v>10778.25</v>
      </c>
      <c r="I75" s="257">
        <f t="shared" si="24"/>
        <v>34209.499499999998</v>
      </c>
      <c r="J75" s="257">
        <f t="shared" si="24"/>
        <v>317811.00179999997</v>
      </c>
      <c r="K75" s="257">
        <f t="shared" si="24"/>
        <v>2040210.0108</v>
      </c>
    </row>
    <row r="76" spans="1:16">
      <c r="D76" s="258">
        <f>SUM(D73:D75)</f>
        <v>41</v>
      </c>
      <c r="E76" s="258">
        <f t="shared" ref="E76:J76" si="25">SUM(E73:E75)</f>
        <v>133535</v>
      </c>
      <c r="F76" s="258">
        <f t="shared" si="25"/>
        <v>244805.6</v>
      </c>
      <c r="G76" s="258">
        <f t="shared" si="25"/>
        <v>42335.562499999993</v>
      </c>
      <c r="H76" s="258">
        <f t="shared" si="25"/>
        <v>53789.2</v>
      </c>
      <c r="I76" s="258">
        <f t="shared" si="25"/>
        <v>204558.2175</v>
      </c>
      <c r="J76" s="258">
        <f t="shared" si="25"/>
        <v>1247078.1117999998</v>
      </c>
      <c r="K76" s="258">
        <f>SUM(K72:K75)</f>
        <v>7615812.6708000004</v>
      </c>
    </row>
    <row r="77" spans="1:16">
      <c r="J77" s="258"/>
    </row>
    <row r="78" spans="1:16">
      <c r="J78" s="258"/>
    </row>
    <row r="79" spans="1:16">
      <c r="A79" s="1" t="s">
        <v>194</v>
      </c>
      <c r="J79" s="258"/>
    </row>
    <row r="81" spans="10:10">
      <c r="J81" s="258"/>
    </row>
  </sheetData>
  <mergeCells count="30">
    <mergeCell ref="A75:C75"/>
    <mergeCell ref="A35:A45"/>
    <mergeCell ref="B35:K35"/>
    <mergeCell ref="A50:A62"/>
    <mergeCell ref="C50:K50"/>
    <mergeCell ref="C51:C60"/>
    <mergeCell ref="A73:C73"/>
    <mergeCell ref="I16:I17"/>
    <mergeCell ref="J16:J17"/>
    <mergeCell ref="K16:K17"/>
    <mergeCell ref="B18:K18"/>
    <mergeCell ref="A74:B74"/>
    <mergeCell ref="A19:A34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G16:H16"/>
    <mergeCell ref="A7:K7"/>
    <mergeCell ref="I1:K1"/>
    <mergeCell ref="BF1:BW1"/>
    <mergeCell ref="BH4:BW4"/>
    <mergeCell ref="BH5:BW5"/>
    <mergeCell ref="A6:K6"/>
  </mergeCells>
  <pageMargins left="0.23622047244094491" right="0.43307086614173229" top="0.47244094488188981" bottom="0.43307086614173229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99FF"/>
  </sheetPr>
  <dimension ref="A1:CJ81"/>
  <sheetViews>
    <sheetView topLeftCell="A29" workbookViewId="0">
      <selection activeCell="H38" sqref="H38"/>
    </sheetView>
  </sheetViews>
  <sheetFormatPr defaultRowHeight="12.75"/>
  <cols>
    <col min="1" max="1" width="18.140625" style="364" customWidth="1"/>
    <col min="2" max="2" width="21.28515625" style="364" customWidth="1"/>
    <col min="3" max="3" width="6.42578125" style="364" hidden="1" customWidth="1"/>
    <col min="4" max="4" width="10.85546875" style="364" customWidth="1"/>
    <col min="5" max="5" width="11.42578125" style="364" customWidth="1"/>
    <col min="6" max="6" width="12.140625" style="364" customWidth="1"/>
    <col min="7" max="7" width="10.5703125" style="364" customWidth="1"/>
    <col min="8" max="8" width="12.140625" style="364" customWidth="1"/>
    <col min="9" max="9" width="13.28515625" style="364" customWidth="1"/>
    <col min="10" max="10" width="18.5703125" style="364" customWidth="1"/>
    <col min="11" max="11" width="14.7109375" style="364" customWidth="1"/>
    <col min="12" max="12" width="11.5703125" style="364" hidden="1" customWidth="1"/>
    <col min="13" max="13" width="13.28515625" style="364" hidden="1" customWidth="1"/>
    <col min="14" max="15" width="12.7109375" style="364" hidden="1" customWidth="1"/>
    <col min="16" max="16" width="5.140625" style="364" hidden="1" customWidth="1"/>
    <col min="17" max="17" width="6.7109375" style="364" hidden="1" customWidth="1"/>
    <col min="18" max="18" width="15.5703125" style="364" hidden="1" customWidth="1"/>
    <col min="19" max="19" width="14.28515625" style="364" hidden="1" customWidth="1"/>
    <col min="20" max="20" width="10.5703125" style="364" hidden="1" customWidth="1"/>
    <col min="21" max="21" width="9.140625" style="364" hidden="1" customWidth="1"/>
    <col min="22" max="22" width="11.7109375" style="364" customWidth="1"/>
    <col min="23" max="23" width="9.140625" style="364" customWidth="1"/>
    <col min="24" max="24" width="13" style="364" customWidth="1"/>
    <col min="25" max="25" width="12.42578125" style="364" customWidth="1"/>
    <col min="26" max="26" width="17.7109375" style="364" customWidth="1"/>
    <col min="27" max="27" width="12.28515625" style="364" customWidth="1"/>
    <col min="28" max="28" width="11" style="364" customWidth="1"/>
    <col min="29" max="29" width="12.28515625" style="364" customWidth="1"/>
    <col min="30" max="30" width="12.7109375" style="364" customWidth="1"/>
    <col min="31" max="31" width="15.140625" style="364" customWidth="1"/>
    <col min="32" max="32" width="11.85546875" style="364" customWidth="1"/>
    <col min="33" max="33" width="15" style="364" customWidth="1"/>
    <col min="34" max="34" width="14" style="364" customWidth="1"/>
    <col min="35" max="35" width="11.28515625" style="364" customWidth="1"/>
    <col min="36" max="36" width="12.42578125" style="364" customWidth="1"/>
    <col min="37" max="37" width="9.140625" style="364" customWidth="1"/>
    <col min="38" max="38" width="12.28515625" style="364" customWidth="1"/>
    <col min="39" max="39" width="11.42578125" style="364" customWidth="1"/>
    <col min="40" max="40" width="12.7109375" style="364" customWidth="1"/>
    <col min="41" max="41" width="9.140625" style="364" customWidth="1"/>
    <col min="42" max="42" width="6.85546875" style="364" customWidth="1"/>
    <col min="43" max="43" width="4" style="364" customWidth="1"/>
    <col min="44" max="49" width="9.140625" style="364" customWidth="1"/>
    <col min="50" max="50" width="11.5703125" style="364" customWidth="1"/>
    <col min="51" max="53" width="9.140625" style="364" customWidth="1"/>
    <col min="54" max="54" width="7.28515625" style="364" customWidth="1"/>
    <col min="55" max="55" width="9.140625" style="364" customWidth="1"/>
    <col min="56" max="56" width="9.140625" style="364"/>
    <col min="57" max="57" width="12" style="364" customWidth="1"/>
    <col min="58" max="58" width="9.140625" style="364"/>
    <col min="59" max="67" width="9.140625" style="364" customWidth="1"/>
    <col min="68" max="68" width="11.5703125" style="364" customWidth="1"/>
    <col min="69" max="69" width="9.140625" style="364"/>
    <col min="70" max="70" width="11.7109375" style="364" customWidth="1"/>
    <col min="71" max="71" width="2.5703125" style="364" customWidth="1"/>
    <col min="72" max="72" width="13" style="364" customWidth="1"/>
    <col min="73" max="73" width="12.42578125" style="364" customWidth="1"/>
    <col min="74" max="74" width="5.140625" style="364" customWidth="1"/>
    <col min="75" max="88" width="9.140625" style="364" customWidth="1"/>
    <col min="89" max="16384" width="9.140625" style="364"/>
  </cols>
  <sheetData>
    <row r="1" spans="1:88">
      <c r="A1" s="363"/>
      <c r="B1" s="363"/>
      <c r="C1" s="363"/>
      <c r="D1" s="363"/>
      <c r="E1" s="363"/>
      <c r="F1" s="363"/>
      <c r="G1" s="363"/>
      <c r="H1" s="363"/>
      <c r="I1" s="1306" t="s">
        <v>0</v>
      </c>
      <c r="J1" s="1307"/>
      <c r="K1" s="1307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363"/>
      <c r="BK1" s="363"/>
      <c r="BL1" s="363"/>
      <c r="BM1" s="363"/>
      <c r="BN1" s="363"/>
      <c r="BO1" s="363"/>
      <c r="BP1" s="363"/>
      <c r="BQ1" s="363"/>
      <c r="BR1" s="363"/>
      <c r="BS1" s="1308"/>
      <c r="BT1" s="1308"/>
      <c r="BU1" s="1308"/>
      <c r="BV1" s="1308"/>
      <c r="BW1" s="1308"/>
      <c r="BX1" s="1308"/>
      <c r="BY1" s="1308"/>
      <c r="BZ1" s="1308"/>
      <c r="CA1" s="1308"/>
      <c r="CB1" s="1308"/>
      <c r="CC1" s="1308"/>
      <c r="CD1" s="1308"/>
      <c r="CE1" s="1308"/>
      <c r="CF1" s="1308"/>
      <c r="CG1" s="1308"/>
      <c r="CH1" s="1308"/>
      <c r="CI1" s="1308"/>
      <c r="CJ1" s="1308"/>
    </row>
    <row r="2" spans="1:88">
      <c r="F2" s="363" t="s">
        <v>2</v>
      </c>
      <c r="G2" s="363"/>
      <c r="H2" s="365" t="s">
        <v>1</v>
      </c>
    </row>
    <row r="3" spans="1:88">
      <c r="F3" s="363"/>
      <c r="G3" s="363"/>
      <c r="H3" s="365" t="s">
        <v>162</v>
      </c>
    </row>
    <row r="4" spans="1:88">
      <c r="A4" s="363"/>
      <c r="B4" s="363"/>
      <c r="C4" s="363"/>
      <c r="D4" s="363"/>
      <c r="E4" s="363"/>
      <c r="F4" s="363" t="s">
        <v>4</v>
      </c>
      <c r="G4" s="363"/>
      <c r="H4" s="365" t="s">
        <v>125</v>
      </c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1309"/>
      <c r="BV4" s="1309"/>
      <c r="BW4" s="1309"/>
      <c r="BX4" s="1309"/>
      <c r="BY4" s="1309"/>
      <c r="BZ4" s="1309"/>
      <c r="CA4" s="1309"/>
      <c r="CB4" s="1309"/>
      <c r="CC4" s="1309"/>
      <c r="CD4" s="1309"/>
      <c r="CE4" s="1309"/>
      <c r="CF4" s="1309"/>
      <c r="CG4" s="1309"/>
      <c r="CH4" s="1309"/>
      <c r="CI4" s="1309"/>
      <c r="CJ4" s="1309"/>
    </row>
    <row r="5" spans="1:88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1309"/>
      <c r="BV5" s="1309"/>
      <c r="BW5" s="1309"/>
      <c r="BX5" s="1309"/>
      <c r="BY5" s="1309"/>
      <c r="BZ5" s="1309"/>
      <c r="CA5" s="1309"/>
      <c r="CB5" s="1309"/>
      <c r="CC5" s="1309"/>
      <c r="CD5" s="1309"/>
      <c r="CE5" s="1309"/>
      <c r="CF5" s="1309"/>
      <c r="CG5" s="1309"/>
      <c r="CH5" s="1309"/>
      <c r="CI5" s="1309"/>
      <c r="CJ5" s="1309"/>
    </row>
    <row r="6" spans="1:88">
      <c r="A6" s="1409" t="s">
        <v>185</v>
      </c>
      <c r="B6" s="1409"/>
      <c r="C6" s="1409"/>
      <c r="D6" s="1409"/>
      <c r="E6" s="1409"/>
      <c r="F6" s="1409"/>
      <c r="G6" s="1409"/>
      <c r="H6" s="1409"/>
      <c r="I6" s="1409"/>
      <c r="J6" s="1409"/>
      <c r="K6" s="1409"/>
    </row>
    <row r="7" spans="1:88">
      <c r="A7" s="1409"/>
      <c r="B7" s="1409"/>
      <c r="C7" s="1409"/>
      <c r="D7" s="1409"/>
      <c r="E7" s="1409"/>
      <c r="F7" s="1409"/>
      <c r="G7" s="1409"/>
      <c r="H7" s="1409"/>
      <c r="I7" s="1409"/>
      <c r="J7" s="1409"/>
      <c r="K7" s="1409"/>
    </row>
    <row r="8" spans="1:88">
      <c r="A8" s="439"/>
      <c r="B8" s="439"/>
      <c r="C8" s="440"/>
      <c r="D8" s="440"/>
      <c r="E8" s="440"/>
      <c r="F8" s="440"/>
      <c r="G8" s="440"/>
      <c r="H8" s="440"/>
      <c r="I8" s="439"/>
      <c r="J8" s="439"/>
      <c r="K8" s="439"/>
    </row>
    <row r="9" spans="1:88">
      <c r="A9" s="439"/>
      <c r="B9" s="439"/>
      <c r="C9" s="440"/>
      <c r="D9" s="440"/>
      <c r="E9" s="1312" t="s">
        <v>9</v>
      </c>
      <c r="F9" s="1312"/>
      <c r="G9" s="1312" t="s">
        <v>10</v>
      </c>
      <c r="H9" s="1312"/>
      <c r="I9" s="439"/>
      <c r="J9" s="439"/>
      <c r="K9" s="439"/>
    </row>
    <row r="10" spans="1:88">
      <c r="B10" s="441" t="s">
        <v>11</v>
      </c>
      <c r="C10" s="440"/>
      <c r="D10" s="440"/>
      <c r="E10" s="1312">
        <v>1</v>
      </c>
      <c r="F10" s="1312"/>
      <c r="G10" s="1313" t="s">
        <v>219</v>
      </c>
      <c r="H10" s="1312"/>
      <c r="I10" s="439" t="s">
        <v>12</v>
      </c>
      <c r="J10" s="439"/>
      <c r="K10" s="439"/>
    </row>
    <row r="11" spans="1:88">
      <c r="A11" s="439"/>
      <c r="B11" s="439"/>
      <c r="C11" s="440"/>
      <c r="D11" s="440"/>
      <c r="E11" s="440"/>
      <c r="F11" s="440"/>
      <c r="G11" s="440"/>
      <c r="H11" s="440"/>
      <c r="I11" s="440" t="s">
        <v>13</v>
      </c>
      <c r="J11" s="440"/>
      <c r="K11" s="440"/>
    </row>
    <row r="12" spans="1:88">
      <c r="A12" s="440"/>
      <c r="B12" s="442" t="s">
        <v>220</v>
      </c>
      <c r="C12" s="440"/>
      <c r="D12" s="440"/>
      <c r="E12" s="440"/>
      <c r="F12" s="440"/>
      <c r="G12" s="440"/>
      <c r="H12" s="440"/>
      <c r="I12" s="440" t="s">
        <v>14</v>
      </c>
      <c r="J12" s="443"/>
      <c r="K12" s="440"/>
    </row>
    <row r="13" spans="1:88">
      <c r="A13" s="440"/>
      <c r="B13" s="440"/>
      <c r="C13" s="440"/>
      <c r="D13" s="440"/>
      <c r="E13" s="440"/>
      <c r="F13" s="440"/>
      <c r="G13" s="440"/>
      <c r="H13" s="440"/>
      <c r="I13" s="440" t="s">
        <v>141</v>
      </c>
      <c r="J13" s="443">
        <f>J67</f>
        <v>335862.70319999999</v>
      </c>
      <c r="K13" s="440"/>
    </row>
    <row r="14" spans="1:88" ht="14.25" customHeight="1">
      <c r="A14" s="440"/>
      <c r="B14" s="444" t="s">
        <v>174</v>
      </c>
      <c r="C14" s="440"/>
      <c r="D14" s="445">
        <v>34</v>
      </c>
      <c r="E14" s="439"/>
      <c r="F14" s="439"/>
      <c r="G14" s="439"/>
      <c r="H14" s="440"/>
      <c r="I14" s="440" t="s">
        <v>15</v>
      </c>
      <c r="J14" s="440"/>
      <c r="K14" s="446">
        <f>D67</f>
        <v>11.65</v>
      </c>
    </row>
    <row r="15" spans="1:88" ht="16.5" customHeight="1">
      <c r="B15" s="447" t="s">
        <v>173</v>
      </c>
      <c r="D15" s="448">
        <v>2</v>
      </c>
      <c r="E15" s="449"/>
      <c r="F15" s="449"/>
      <c r="G15" s="449"/>
      <c r="K15" s="450" t="s">
        <v>16</v>
      </c>
    </row>
    <row r="16" spans="1:88">
      <c r="A16" s="1312" t="s">
        <v>17</v>
      </c>
      <c r="B16" s="1312" t="s">
        <v>18</v>
      </c>
      <c r="C16" s="1312" t="s">
        <v>19</v>
      </c>
      <c r="D16" s="1312" t="s">
        <v>20</v>
      </c>
      <c r="E16" s="1312" t="s">
        <v>21</v>
      </c>
      <c r="F16" s="1312" t="s">
        <v>5</v>
      </c>
      <c r="G16" s="1312" t="s">
        <v>6</v>
      </c>
      <c r="H16" s="1312"/>
      <c r="I16" s="1312" t="s">
        <v>7</v>
      </c>
      <c r="J16" s="1312" t="s">
        <v>22</v>
      </c>
      <c r="K16" s="1312" t="s">
        <v>196</v>
      </c>
    </row>
    <row r="17" spans="1:21" ht="45" customHeight="1">
      <c r="A17" s="1312"/>
      <c r="B17" s="1312"/>
      <c r="C17" s="1312"/>
      <c r="D17" s="1312"/>
      <c r="E17" s="1312"/>
      <c r="F17" s="1312"/>
      <c r="G17" s="451" t="s">
        <v>24</v>
      </c>
      <c r="H17" s="451" t="s">
        <v>25</v>
      </c>
      <c r="I17" s="1312"/>
      <c r="J17" s="1312"/>
      <c r="K17" s="1312"/>
    </row>
    <row r="18" spans="1:21">
      <c r="A18" s="452"/>
      <c r="B18" s="1295" t="s">
        <v>142</v>
      </c>
      <c r="C18" s="1296"/>
      <c r="D18" s="1296"/>
      <c r="E18" s="1296"/>
      <c r="F18" s="1296"/>
      <c r="G18" s="1296"/>
      <c r="H18" s="1296"/>
      <c r="I18" s="1296"/>
      <c r="J18" s="1296"/>
      <c r="K18" s="1296"/>
    </row>
    <row r="19" spans="1:21" ht="36" hidden="1" customHeight="1">
      <c r="A19" s="1297" t="s">
        <v>188</v>
      </c>
      <c r="B19" s="399" t="s">
        <v>165</v>
      </c>
      <c r="C19" s="367"/>
      <c r="D19" s="380"/>
      <c r="E19" s="381"/>
      <c r="F19" s="383">
        <f>D19*E19</f>
        <v>0</v>
      </c>
      <c r="G19" s="383">
        <f>F19*25%</f>
        <v>0</v>
      </c>
      <c r="H19" s="383"/>
      <c r="I19" s="453">
        <f>(F19+G19+H19)*60%</f>
        <v>0</v>
      </c>
      <c r="J19" s="453">
        <f>F19+G19+H19+I19</f>
        <v>0</v>
      </c>
      <c r="K19" s="375">
        <f>J19*7</f>
        <v>0</v>
      </c>
    </row>
    <row r="20" spans="1:21" ht="24" customHeight="1">
      <c r="A20" s="1298"/>
      <c r="B20" s="399" t="s">
        <v>150</v>
      </c>
      <c r="C20" s="367"/>
      <c r="D20" s="373">
        <v>1</v>
      </c>
      <c r="E20" s="374">
        <v>9718</v>
      </c>
      <c r="F20" s="383">
        <f>D20*E20</f>
        <v>9718</v>
      </c>
      <c r="G20" s="375">
        <v>2429.5</v>
      </c>
      <c r="H20" s="383">
        <v>2429.5</v>
      </c>
      <c r="I20" s="453">
        <f t="shared" ref="I20:I27" si="0">(F20+G20+H20)*60%</f>
        <v>8746.1999999999989</v>
      </c>
      <c r="J20" s="453">
        <f t="shared" ref="J20:J28" si="1">F20+G20+H20+I20</f>
        <v>23323.199999999997</v>
      </c>
      <c r="K20" s="375">
        <f>J20*12</f>
        <v>279878.39999999997</v>
      </c>
    </row>
    <row r="21" spans="1:21" ht="24" hidden="1" customHeight="1">
      <c r="A21" s="1299"/>
      <c r="B21" s="399" t="s">
        <v>166</v>
      </c>
      <c r="C21" s="367"/>
      <c r="D21" s="367"/>
      <c r="E21" s="374"/>
      <c r="F21" s="383">
        <f>D21*E21</f>
        <v>0</v>
      </c>
      <c r="G21" s="375"/>
      <c r="H21" s="375"/>
      <c r="I21" s="453">
        <f t="shared" si="0"/>
        <v>0</v>
      </c>
      <c r="J21" s="453">
        <f t="shared" si="1"/>
        <v>0</v>
      </c>
      <c r="K21" s="375">
        <f t="shared" ref="K21:K28" si="2">J21*12</f>
        <v>0</v>
      </c>
    </row>
    <row r="22" spans="1:21" ht="48" hidden="1" customHeight="1">
      <c r="A22" s="1299"/>
      <c r="B22" s="384" t="s">
        <v>167</v>
      </c>
      <c r="C22" s="388"/>
      <c r="D22" s="388"/>
      <c r="E22" s="386"/>
      <c r="F22" s="383">
        <f t="shared" ref="F22:F27" si="3">D22*E22</f>
        <v>0</v>
      </c>
      <c r="G22" s="391"/>
      <c r="H22" s="391"/>
      <c r="I22" s="453">
        <f t="shared" si="0"/>
        <v>0</v>
      </c>
      <c r="J22" s="453">
        <f t="shared" si="1"/>
        <v>0</v>
      </c>
      <c r="K22" s="375">
        <f t="shared" si="2"/>
        <v>0</v>
      </c>
    </row>
    <row r="23" spans="1:21" ht="12" hidden="1" customHeight="1">
      <c r="A23" s="1299"/>
      <c r="B23" s="384" t="s">
        <v>168</v>
      </c>
      <c r="C23" s="388"/>
      <c r="D23" s="385"/>
      <c r="E23" s="386"/>
      <c r="F23" s="383"/>
      <c r="G23" s="391"/>
      <c r="H23" s="391"/>
      <c r="I23" s="454"/>
      <c r="J23" s="454">
        <f t="shared" si="1"/>
        <v>0</v>
      </c>
      <c r="K23" s="375">
        <f t="shared" si="2"/>
        <v>0</v>
      </c>
    </row>
    <row r="24" spans="1:21" ht="12" hidden="1" customHeight="1">
      <c r="A24" s="1299"/>
      <c r="B24" s="384" t="s">
        <v>169</v>
      </c>
      <c r="C24" s="388"/>
      <c r="D24" s="388"/>
      <c r="E24" s="386"/>
      <c r="F24" s="383">
        <f t="shared" si="3"/>
        <v>0</v>
      </c>
      <c r="G24" s="391"/>
      <c r="H24" s="391"/>
      <c r="I24" s="454">
        <f t="shared" si="0"/>
        <v>0</v>
      </c>
      <c r="J24" s="454">
        <f t="shared" si="1"/>
        <v>0</v>
      </c>
      <c r="K24" s="375">
        <f t="shared" si="2"/>
        <v>0</v>
      </c>
    </row>
    <row r="25" spans="1:21" ht="25.5" customHeight="1">
      <c r="A25" s="1299"/>
      <c r="B25" s="384" t="s">
        <v>143</v>
      </c>
      <c r="C25" s="388"/>
      <c r="D25" s="390">
        <v>2.25</v>
      </c>
      <c r="E25" s="386">
        <v>3964</v>
      </c>
      <c r="F25" s="376">
        <f t="shared" si="3"/>
        <v>8919</v>
      </c>
      <c r="G25" s="391">
        <v>1070.28</v>
      </c>
      <c r="H25" s="391">
        <v>2031.55</v>
      </c>
      <c r="I25" s="454">
        <f t="shared" si="0"/>
        <v>7212.4979999999996</v>
      </c>
      <c r="J25" s="454">
        <f t="shared" si="1"/>
        <v>19233.328000000001</v>
      </c>
      <c r="K25" s="375">
        <f t="shared" si="2"/>
        <v>230799.93600000002</v>
      </c>
    </row>
    <row r="26" spans="1:21" hidden="1">
      <c r="A26" s="1299"/>
      <c r="B26" s="399" t="s">
        <v>170</v>
      </c>
      <c r="C26" s="367"/>
      <c r="D26" s="367"/>
      <c r="E26" s="374"/>
      <c r="F26" s="375">
        <f t="shared" si="3"/>
        <v>0</v>
      </c>
      <c r="G26" s="375"/>
      <c r="H26" s="375"/>
      <c r="I26" s="453">
        <f t="shared" si="0"/>
        <v>0</v>
      </c>
      <c r="J26" s="453">
        <f t="shared" si="1"/>
        <v>0</v>
      </c>
      <c r="K26" s="375">
        <f t="shared" si="2"/>
        <v>0</v>
      </c>
    </row>
    <row r="27" spans="1:21" ht="21.75" customHeight="1" thickBot="1">
      <c r="A27" s="1299"/>
      <c r="B27" s="399" t="s">
        <v>111</v>
      </c>
      <c r="C27" s="367"/>
      <c r="D27" s="367">
        <v>1</v>
      </c>
      <c r="E27" s="374">
        <v>4282</v>
      </c>
      <c r="F27" s="375">
        <f t="shared" si="3"/>
        <v>4282</v>
      </c>
      <c r="G27" s="375">
        <v>1070.5</v>
      </c>
      <c r="H27" s="375"/>
      <c r="I27" s="453">
        <f t="shared" si="0"/>
        <v>3211.5</v>
      </c>
      <c r="J27" s="453">
        <f t="shared" si="1"/>
        <v>8564</v>
      </c>
      <c r="K27" s="375">
        <f t="shared" si="2"/>
        <v>102768</v>
      </c>
      <c r="M27" s="455">
        <f>J25+J27</f>
        <v>27797.328000000001</v>
      </c>
      <c r="N27" s="364">
        <f>M27*15%</f>
        <v>4169.5991999999997</v>
      </c>
      <c r="O27" s="455">
        <f>SUM(M27:N27)</f>
        <v>31966.927200000002</v>
      </c>
    </row>
    <row r="28" spans="1:21" ht="20.25" hidden="1" customHeight="1" thickBot="1">
      <c r="A28" s="1299"/>
      <c r="B28" s="384" t="s">
        <v>74</v>
      </c>
      <c r="C28" s="388"/>
      <c r="D28" s="388"/>
      <c r="E28" s="386"/>
      <c r="F28" s="391"/>
      <c r="G28" s="391"/>
      <c r="H28" s="391"/>
      <c r="I28" s="453"/>
      <c r="J28" s="453">
        <f t="shared" si="1"/>
        <v>0</v>
      </c>
      <c r="K28" s="375">
        <f t="shared" si="2"/>
        <v>0</v>
      </c>
    </row>
    <row r="29" spans="1:21" ht="13.5" thickBot="1">
      <c r="A29" s="1299"/>
      <c r="B29" s="456"/>
      <c r="C29" s="457"/>
      <c r="D29" s="458">
        <f>SUM(D19:D28)</f>
        <v>4.25</v>
      </c>
      <c r="E29" s="458">
        <f t="shared" ref="E29:K29" si="4">SUM(E19:E28)</f>
        <v>17964</v>
      </c>
      <c r="F29" s="458">
        <f t="shared" si="4"/>
        <v>22919</v>
      </c>
      <c r="G29" s="458">
        <f t="shared" si="4"/>
        <v>4570.28</v>
      </c>
      <c r="H29" s="458">
        <f t="shared" si="4"/>
        <v>4461.05</v>
      </c>
      <c r="I29" s="458">
        <f t="shared" si="4"/>
        <v>19170.197999999997</v>
      </c>
      <c r="J29" s="458">
        <f t="shared" si="4"/>
        <v>51120.527999999998</v>
      </c>
      <c r="K29" s="458">
        <f t="shared" si="4"/>
        <v>613446.33600000001</v>
      </c>
    </row>
    <row r="30" spans="1:21" ht="22.5" customHeight="1">
      <c r="A30" s="1299"/>
      <c r="B30" s="399" t="s">
        <v>171</v>
      </c>
      <c r="C30" s="368"/>
      <c r="D30" s="380"/>
      <c r="E30" s="380"/>
      <c r="F30" s="459"/>
      <c r="G30" s="459"/>
      <c r="H30" s="459"/>
      <c r="I30" s="459"/>
      <c r="J30" s="459">
        <f>J29*15%</f>
        <v>7668.0791999999992</v>
      </c>
      <c r="K30" s="375">
        <f t="shared" ref="K30:K32" si="5">J30*12</f>
        <v>92016.950399999987</v>
      </c>
      <c r="R30" s="455">
        <f>J25+J27</f>
        <v>27797.328000000001</v>
      </c>
    </row>
    <row r="31" spans="1:21" ht="48.75" customHeight="1">
      <c r="A31" s="1299"/>
      <c r="B31" s="460" t="s">
        <v>78</v>
      </c>
      <c r="C31" s="367"/>
      <c r="D31" s="373"/>
      <c r="E31" s="373"/>
      <c r="F31" s="389"/>
      <c r="G31" s="389"/>
      <c r="H31" s="389"/>
      <c r="I31" s="389"/>
      <c r="J31" s="389">
        <v>36762.589999999997</v>
      </c>
      <c r="K31" s="375">
        <f t="shared" si="5"/>
        <v>441151.07999999996</v>
      </c>
      <c r="L31" s="455">
        <f>J25*1.15</f>
        <v>22118.3272</v>
      </c>
      <c r="R31" s="364">
        <f>R30*15%</f>
        <v>4169.5991999999997</v>
      </c>
      <c r="U31" s="461">
        <f>J25+J27+J30+J31</f>
        <v>72227.997199999998</v>
      </c>
    </row>
    <row r="32" spans="1:21" ht="26.25" thickBot="1">
      <c r="A32" s="1299"/>
      <c r="B32" s="384" t="s">
        <v>172</v>
      </c>
      <c r="C32" s="388"/>
      <c r="D32" s="385"/>
      <c r="E32" s="385"/>
      <c r="F32" s="390"/>
      <c r="G32" s="390"/>
      <c r="H32" s="390"/>
      <c r="I32" s="390"/>
      <c r="J32" s="390">
        <v>10234</v>
      </c>
      <c r="K32" s="375">
        <f t="shared" si="5"/>
        <v>122808</v>
      </c>
      <c r="R32" s="461">
        <f>J31</f>
        <v>36762.589999999997</v>
      </c>
    </row>
    <row r="33" spans="1:26" ht="39" thickBot="1">
      <c r="A33" s="1299"/>
      <c r="B33" s="462" t="s">
        <v>145</v>
      </c>
      <c r="C33" s="457"/>
      <c r="D33" s="463">
        <f>D29+D30+D31+D32</f>
        <v>4.25</v>
      </c>
      <c r="E33" s="463">
        <f t="shared" ref="E33:K33" si="6">E29+E30+E31+E32</f>
        <v>17964</v>
      </c>
      <c r="F33" s="463">
        <f t="shared" si="6"/>
        <v>22919</v>
      </c>
      <c r="G33" s="463">
        <f t="shared" si="6"/>
        <v>4570.28</v>
      </c>
      <c r="H33" s="463">
        <f t="shared" si="6"/>
        <v>4461.05</v>
      </c>
      <c r="I33" s="463">
        <f t="shared" si="6"/>
        <v>19170.197999999997</v>
      </c>
      <c r="J33" s="463">
        <f t="shared" si="6"/>
        <v>105785.1972</v>
      </c>
      <c r="K33" s="464">
        <f t="shared" si="6"/>
        <v>1269422.3663999999</v>
      </c>
      <c r="R33" s="455">
        <f>SUM(R30:R32)</f>
        <v>68729.517200000002</v>
      </c>
      <c r="S33" s="476">
        <f>J33*12</f>
        <v>1269422.3663999999</v>
      </c>
    </row>
    <row r="34" spans="1:26">
      <c r="A34" s="1412" t="s">
        <v>32</v>
      </c>
      <c r="B34" s="1295" t="s">
        <v>144</v>
      </c>
      <c r="C34" s="1296"/>
      <c r="D34" s="1296"/>
      <c r="E34" s="1296"/>
      <c r="F34" s="1296"/>
      <c r="G34" s="1296"/>
      <c r="H34" s="1296"/>
      <c r="I34" s="1296"/>
      <c r="J34" s="1296"/>
      <c r="K34" s="1296"/>
      <c r="X34" s="455"/>
    </row>
    <row r="35" spans="1:26" ht="27" customHeight="1">
      <c r="A35" s="1413"/>
      <c r="B35" s="399" t="s">
        <v>146</v>
      </c>
      <c r="C35" s="367" t="s">
        <v>36</v>
      </c>
      <c r="D35" s="373">
        <v>1</v>
      </c>
      <c r="E35" s="374">
        <v>7521</v>
      </c>
      <c r="F35" s="375">
        <v>12409.65</v>
      </c>
      <c r="G35" s="375">
        <v>1880.25</v>
      </c>
      <c r="H35" s="375">
        <v>2598.65</v>
      </c>
      <c r="I35" s="453">
        <f>(F35+G35+H35)*60%</f>
        <v>10133.129999999999</v>
      </c>
      <c r="J35" s="453">
        <f t="shared" ref="J35:J42" si="7">F35+G35+H35+I35</f>
        <v>27021.68</v>
      </c>
      <c r="K35" s="375">
        <f t="shared" ref="K35:K39" si="8">J35*12</f>
        <v>324260.16000000003</v>
      </c>
      <c r="X35" s="455"/>
    </row>
    <row r="36" spans="1:26">
      <c r="A36" s="1413"/>
      <c r="B36" s="399" t="s">
        <v>146</v>
      </c>
      <c r="C36" s="367"/>
      <c r="D36" s="373">
        <v>1.9</v>
      </c>
      <c r="E36" s="374">
        <v>6603</v>
      </c>
      <c r="F36" s="375">
        <v>19809</v>
      </c>
      <c r="G36" s="375">
        <v>3136.43</v>
      </c>
      <c r="H36" s="375">
        <v>4357.71</v>
      </c>
      <c r="I36" s="453">
        <f>(F36+G36+H36)*60%</f>
        <v>16381.883999999998</v>
      </c>
      <c r="J36" s="453">
        <f t="shared" si="7"/>
        <v>43685.023999999998</v>
      </c>
      <c r="K36" s="375">
        <f t="shared" si="8"/>
        <v>524220.28799999994</v>
      </c>
      <c r="X36" s="455"/>
    </row>
    <row r="37" spans="1:26" ht="31.5" hidden="1" customHeight="1">
      <c r="A37" s="1413"/>
      <c r="B37" s="399" t="s">
        <v>147</v>
      </c>
      <c r="C37" s="367" t="s">
        <v>34</v>
      </c>
      <c r="D37" s="465"/>
      <c r="E37" s="377"/>
      <c r="F37" s="377"/>
      <c r="G37" s="377"/>
      <c r="H37" s="377"/>
      <c r="I37" s="392">
        <f>(F37+G37+H37)*60%</f>
        <v>0</v>
      </c>
      <c r="J37" s="392">
        <f t="shared" si="7"/>
        <v>0</v>
      </c>
      <c r="K37" s="375">
        <f t="shared" si="8"/>
        <v>0</v>
      </c>
      <c r="L37" s="455"/>
      <c r="X37" s="455"/>
    </row>
    <row r="38" spans="1:26" ht="34.5" customHeight="1">
      <c r="A38" s="1413"/>
      <c r="B38" s="399" t="s">
        <v>147</v>
      </c>
      <c r="C38" s="367" t="s">
        <v>34</v>
      </c>
      <c r="D38" s="466">
        <v>0.5</v>
      </c>
      <c r="E38" s="377">
        <v>6556</v>
      </c>
      <c r="F38" s="377">
        <v>5408.7</v>
      </c>
      <c r="G38" s="377">
        <v>819.5</v>
      </c>
      <c r="H38" s="377">
        <v>819.5</v>
      </c>
      <c r="I38" s="377">
        <f>(F38+G38+H38)*60%</f>
        <v>4228.62</v>
      </c>
      <c r="J38" s="377">
        <f t="shared" si="7"/>
        <v>11276.32</v>
      </c>
      <c r="K38" s="375">
        <f t="shared" si="8"/>
        <v>135315.84</v>
      </c>
      <c r="L38" s="455"/>
      <c r="X38" s="455"/>
    </row>
    <row r="39" spans="1:26" ht="28.5" customHeight="1" thickBot="1">
      <c r="A39" s="1414"/>
      <c r="B39" s="399" t="s">
        <v>44</v>
      </c>
      <c r="C39" s="367" t="s">
        <v>42</v>
      </c>
      <c r="D39" s="467">
        <v>0.25</v>
      </c>
      <c r="E39" s="377">
        <v>5760</v>
      </c>
      <c r="F39" s="377">
        <v>2160</v>
      </c>
      <c r="G39" s="377">
        <v>360</v>
      </c>
      <c r="H39" s="377">
        <v>360</v>
      </c>
      <c r="I39" s="377">
        <f>(F39+G39+H39)*60%</f>
        <v>1728</v>
      </c>
      <c r="J39" s="377">
        <f t="shared" si="7"/>
        <v>4608</v>
      </c>
      <c r="K39" s="375">
        <f t="shared" si="8"/>
        <v>55296</v>
      </c>
    </row>
    <row r="40" spans="1:26" ht="43.5" hidden="1" customHeight="1">
      <c r="A40" s="1414"/>
      <c r="B40" s="399" t="s">
        <v>175</v>
      </c>
      <c r="C40" s="367" t="s">
        <v>29</v>
      </c>
      <c r="D40" s="393"/>
      <c r="E40" s="377"/>
      <c r="F40" s="377"/>
      <c r="G40" s="377"/>
      <c r="H40" s="377"/>
      <c r="I40" s="377"/>
      <c r="J40" s="377">
        <f t="shared" si="7"/>
        <v>0</v>
      </c>
      <c r="K40" s="468">
        <f>J40*7</f>
        <v>0</v>
      </c>
    </row>
    <row r="41" spans="1:26" ht="33" hidden="1" customHeight="1">
      <c r="A41" s="1414"/>
      <c r="B41" s="399" t="s">
        <v>176</v>
      </c>
      <c r="C41" s="367" t="s">
        <v>29</v>
      </c>
      <c r="D41" s="469"/>
      <c r="E41" s="371"/>
      <c r="F41" s="371"/>
      <c r="G41" s="371"/>
      <c r="H41" s="371"/>
      <c r="I41" s="377"/>
      <c r="J41" s="377">
        <f t="shared" si="7"/>
        <v>0</v>
      </c>
      <c r="K41" s="375">
        <f>J41*7</f>
        <v>0</v>
      </c>
    </row>
    <row r="42" spans="1:26" ht="72" hidden="1" customHeight="1">
      <c r="A42" s="1414"/>
      <c r="B42" s="399" t="s">
        <v>40</v>
      </c>
      <c r="C42" s="367" t="s">
        <v>34</v>
      </c>
      <c r="D42" s="470"/>
      <c r="E42" s="371"/>
      <c r="F42" s="371"/>
      <c r="G42" s="371"/>
      <c r="H42" s="371"/>
      <c r="I42" s="371"/>
      <c r="J42" s="371">
        <f t="shared" si="7"/>
        <v>0</v>
      </c>
      <c r="K42" s="468">
        <f t="shared" ref="K42:K44" si="9">J42*7</f>
        <v>0</v>
      </c>
    </row>
    <row r="43" spans="1:26" ht="72" hidden="1" customHeight="1">
      <c r="A43" s="1414"/>
      <c r="B43" s="399" t="s">
        <v>178</v>
      </c>
      <c r="C43" s="367" t="s">
        <v>36</v>
      </c>
      <c r="D43" s="469"/>
      <c r="E43" s="371"/>
      <c r="F43" s="371"/>
      <c r="G43" s="371"/>
      <c r="H43" s="371"/>
      <c r="I43" s="371"/>
      <c r="J43" s="371"/>
      <c r="K43" s="468">
        <f t="shared" si="9"/>
        <v>0</v>
      </c>
    </row>
    <row r="44" spans="1:26" ht="72.75" hidden="1" customHeight="1" thickBot="1">
      <c r="A44" s="1415"/>
      <c r="B44" s="399" t="s">
        <v>177</v>
      </c>
      <c r="C44" s="367" t="s">
        <v>42</v>
      </c>
      <c r="D44" s="469"/>
      <c r="E44" s="374"/>
      <c r="F44" s="471"/>
      <c r="G44" s="471"/>
      <c r="H44" s="471"/>
      <c r="I44" s="471"/>
      <c r="J44" s="471"/>
      <c r="K44" s="468">
        <f t="shared" si="9"/>
        <v>0</v>
      </c>
    </row>
    <row r="45" spans="1:26" ht="13.5" thickBot="1">
      <c r="A45" s="472"/>
      <c r="B45" s="456"/>
      <c r="C45" s="473"/>
      <c r="D45" s="474">
        <f t="shared" ref="D45:K45" si="10">SUM(D35:D44)</f>
        <v>3.65</v>
      </c>
      <c r="E45" s="474">
        <f t="shared" si="10"/>
        <v>26440</v>
      </c>
      <c r="F45" s="474">
        <f t="shared" si="10"/>
        <v>39787.35</v>
      </c>
      <c r="G45" s="474">
        <f t="shared" si="10"/>
        <v>6196.18</v>
      </c>
      <c r="H45" s="474">
        <f t="shared" si="10"/>
        <v>8135.8600000000006</v>
      </c>
      <c r="I45" s="474">
        <f t="shared" si="10"/>
        <v>32471.633999999995</v>
      </c>
      <c r="J45" s="474">
        <f t="shared" si="10"/>
        <v>86591.024000000005</v>
      </c>
      <c r="K45" s="475">
        <f t="shared" si="10"/>
        <v>1039092.2879999999</v>
      </c>
      <c r="L45" s="455"/>
      <c r="Z45" s="476"/>
    </row>
    <row r="46" spans="1:26" ht="25.5">
      <c r="A46" s="477"/>
      <c r="B46" s="478" t="s">
        <v>172</v>
      </c>
      <c r="C46" s="479"/>
      <c r="D46" s="480"/>
      <c r="E46" s="480"/>
      <c r="F46" s="480"/>
      <c r="G46" s="480"/>
      <c r="H46" s="480"/>
      <c r="I46" s="480"/>
      <c r="J46" s="481">
        <v>7200</v>
      </c>
      <c r="K46" s="375">
        <f>J46*12</f>
        <v>86400</v>
      </c>
      <c r="L46" s="455"/>
    </row>
    <row r="47" spans="1:26" ht="22.5" customHeight="1" thickBot="1">
      <c r="A47" s="482"/>
      <c r="B47" s="384" t="s">
        <v>171</v>
      </c>
      <c r="C47" s="483"/>
      <c r="D47" s="484"/>
      <c r="E47" s="387"/>
      <c r="F47" s="387"/>
      <c r="G47" s="387"/>
      <c r="H47" s="387"/>
      <c r="I47" s="387"/>
      <c r="J47" s="485">
        <v>47846.48</v>
      </c>
      <c r="K47" s="375">
        <f>J47*12-0.05</f>
        <v>574157.71</v>
      </c>
      <c r="L47" s="461"/>
      <c r="O47" s="476"/>
      <c r="V47" s="461">
        <f>J46+J47</f>
        <v>55046.48</v>
      </c>
      <c r="Y47" s="476"/>
    </row>
    <row r="48" spans="1:26" ht="39" thickBot="1">
      <c r="A48" s="486"/>
      <c r="B48" s="487" t="s">
        <v>148</v>
      </c>
      <c r="C48" s="473"/>
      <c r="D48" s="488">
        <f t="shared" ref="D48:I48" si="11">D45+D46+D47</f>
        <v>3.65</v>
      </c>
      <c r="E48" s="488">
        <f t="shared" si="11"/>
        <v>26440</v>
      </c>
      <c r="F48" s="488">
        <f t="shared" si="11"/>
        <v>39787.35</v>
      </c>
      <c r="G48" s="488">
        <f t="shared" si="11"/>
        <v>6196.18</v>
      </c>
      <c r="H48" s="488">
        <f t="shared" si="11"/>
        <v>8135.8600000000006</v>
      </c>
      <c r="I48" s="488">
        <f t="shared" si="11"/>
        <v>32471.633999999995</v>
      </c>
      <c r="J48" s="488">
        <f>J45+J46+J47</f>
        <v>141637.50400000002</v>
      </c>
      <c r="K48" s="489">
        <f>K45+K46+K47</f>
        <v>1699649.9979999999</v>
      </c>
      <c r="M48" s="461"/>
      <c r="S48" s="476">
        <f>J48*12</f>
        <v>1699650.0480000002</v>
      </c>
    </row>
    <row r="49" spans="1:33">
      <c r="A49" s="1416" t="s">
        <v>81</v>
      </c>
      <c r="B49" s="478"/>
      <c r="C49" s="1300" t="s">
        <v>80</v>
      </c>
      <c r="D49" s="1301"/>
      <c r="E49" s="1301"/>
      <c r="F49" s="1301"/>
      <c r="G49" s="1301"/>
      <c r="H49" s="1301"/>
      <c r="I49" s="1301"/>
      <c r="J49" s="1301"/>
      <c r="K49" s="1301"/>
      <c r="L49" s="455"/>
      <c r="M49" s="455"/>
      <c r="N49" s="455"/>
    </row>
    <row r="50" spans="1:33" hidden="1">
      <c r="A50" s="1302"/>
      <c r="B50" s="399" t="s">
        <v>95</v>
      </c>
      <c r="C50" s="1303" t="s">
        <v>83</v>
      </c>
      <c r="D50" s="380"/>
      <c r="E50" s="490"/>
      <c r="F50" s="490">
        <f t="shared" ref="F50:F55" si="12">D50*E50</f>
        <v>0</v>
      </c>
      <c r="G50" s="490"/>
      <c r="H50" s="490">
        <f>F50*25%</f>
        <v>0</v>
      </c>
      <c r="I50" s="491">
        <f>(F50+G50+H50)*60%</f>
        <v>0</v>
      </c>
      <c r="J50" s="491">
        <f t="shared" ref="J50:J61" si="13">F50+G50+H50+I50</f>
        <v>0</v>
      </c>
      <c r="K50" s="468">
        <f>J50*7</f>
        <v>0</v>
      </c>
    </row>
    <row r="51" spans="1:33" ht="36" hidden="1" customHeight="1">
      <c r="A51" s="1302"/>
      <c r="B51" s="399" t="s">
        <v>93</v>
      </c>
      <c r="C51" s="1294"/>
      <c r="D51" s="367"/>
      <c r="E51" s="492"/>
      <c r="F51" s="490">
        <f t="shared" si="12"/>
        <v>0</v>
      </c>
      <c r="G51" s="468"/>
      <c r="H51" s="493"/>
      <c r="I51" s="491">
        <f>(F51+G51+H51)*60%</f>
        <v>0</v>
      </c>
      <c r="J51" s="491">
        <f t="shared" si="13"/>
        <v>0</v>
      </c>
      <c r="K51" s="468">
        <f t="shared" ref="K51:K61" si="14">J51*7</f>
        <v>0</v>
      </c>
      <c r="L51" s="455"/>
      <c r="M51" s="455"/>
      <c r="N51" s="455"/>
    </row>
    <row r="52" spans="1:33" ht="18" customHeight="1">
      <c r="A52" s="1302"/>
      <c r="B52" s="399" t="s">
        <v>93</v>
      </c>
      <c r="C52" s="1294"/>
      <c r="D52" s="373">
        <v>1.5</v>
      </c>
      <c r="E52" s="493">
        <v>3511</v>
      </c>
      <c r="F52" s="490">
        <f t="shared" si="12"/>
        <v>5266.5</v>
      </c>
      <c r="G52" s="493">
        <v>631.98</v>
      </c>
      <c r="H52" s="493">
        <v>965.53</v>
      </c>
      <c r="I52" s="491">
        <f>(F52+G52+H52)*60%</f>
        <v>4118.405999999999</v>
      </c>
      <c r="J52" s="494">
        <f t="shared" si="13"/>
        <v>10982.415999999997</v>
      </c>
      <c r="K52" s="375">
        <f t="shared" ref="K52:K60" si="15">J52*12</f>
        <v>131788.99199999997</v>
      </c>
    </row>
    <row r="53" spans="1:33" ht="42" customHeight="1">
      <c r="A53" s="1302"/>
      <c r="B53" s="399" t="s">
        <v>186</v>
      </c>
      <c r="C53" s="1294"/>
      <c r="D53" s="373">
        <v>0.5</v>
      </c>
      <c r="E53" s="492">
        <v>3016</v>
      </c>
      <c r="F53" s="490">
        <f t="shared" si="12"/>
        <v>1508</v>
      </c>
      <c r="G53" s="468"/>
      <c r="H53" s="468">
        <v>226.2</v>
      </c>
      <c r="I53" s="491">
        <f t="shared" ref="I53:I60" si="16">(F53+G53+H53)*60%</f>
        <v>1040.52</v>
      </c>
      <c r="J53" s="494">
        <f t="shared" si="13"/>
        <v>2774.7200000000003</v>
      </c>
      <c r="K53" s="375">
        <f t="shared" si="15"/>
        <v>33296.639999999999</v>
      </c>
      <c r="L53" s="455"/>
      <c r="M53" s="455"/>
      <c r="N53" s="455"/>
    </row>
    <row r="54" spans="1:33" ht="30.75" hidden="1" customHeight="1">
      <c r="A54" s="1302"/>
      <c r="B54" s="399" t="s">
        <v>87</v>
      </c>
      <c r="C54" s="1294"/>
      <c r="D54" s="367"/>
      <c r="E54" s="495"/>
      <c r="F54" s="370">
        <f t="shared" si="12"/>
        <v>0</v>
      </c>
      <c r="G54" s="395"/>
      <c r="H54" s="395"/>
      <c r="I54" s="491">
        <f t="shared" si="16"/>
        <v>0</v>
      </c>
      <c r="J54" s="495">
        <f t="shared" si="13"/>
        <v>0</v>
      </c>
      <c r="K54" s="375">
        <f t="shared" si="15"/>
        <v>0</v>
      </c>
    </row>
    <row r="55" spans="1:33" ht="29.25" customHeight="1">
      <c r="A55" s="1302"/>
      <c r="B55" s="399" t="s">
        <v>179</v>
      </c>
      <c r="C55" s="1294"/>
      <c r="D55" s="389">
        <v>0.75</v>
      </c>
      <c r="E55" s="394">
        <v>3016</v>
      </c>
      <c r="F55" s="370">
        <f t="shared" si="12"/>
        <v>2262</v>
      </c>
      <c r="G55" s="395">
        <v>271.44</v>
      </c>
      <c r="H55" s="395">
        <v>565.5</v>
      </c>
      <c r="I55" s="491">
        <f t="shared" si="16"/>
        <v>1859.364</v>
      </c>
      <c r="J55" s="495">
        <f t="shared" si="13"/>
        <v>4958.3040000000001</v>
      </c>
      <c r="K55" s="375">
        <f t="shared" si="15"/>
        <v>59499.648000000001</v>
      </c>
      <c r="L55" s="455"/>
      <c r="M55" s="455"/>
      <c r="N55" s="455"/>
      <c r="AG55" s="455"/>
    </row>
    <row r="56" spans="1:33" ht="30" hidden="1" customHeight="1">
      <c r="A56" s="1302"/>
      <c r="B56" s="399" t="s">
        <v>180</v>
      </c>
      <c r="C56" s="1294"/>
      <c r="D56" s="373"/>
      <c r="E56" s="395"/>
      <c r="F56" s="370"/>
      <c r="G56" s="395"/>
      <c r="H56" s="395"/>
      <c r="I56" s="491">
        <f t="shared" si="16"/>
        <v>0</v>
      </c>
      <c r="J56" s="495">
        <f t="shared" si="13"/>
        <v>0</v>
      </c>
      <c r="K56" s="375">
        <f t="shared" si="15"/>
        <v>0</v>
      </c>
      <c r="AG56" s="455"/>
    </row>
    <row r="57" spans="1:33" ht="25.5" hidden="1">
      <c r="A57" s="1302"/>
      <c r="B57" s="399" t="s">
        <v>85</v>
      </c>
      <c r="C57" s="1294"/>
      <c r="D57" s="373"/>
      <c r="E57" s="374"/>
      <c r="F57" s="370"/>
      <c r="G57" s="375"/>
      <c r="H57" s="375"/>
      <c r="I57" s="491">
        <f t="shared" si="16"/>
        <v>0</v>
      </c>
      <c r="J57" s="494">
        <f t="shared" si="13"/>
        <v>0</v>
      </c>
      <c r="K57" s="375">
        <f t="shared" si="15"/>
        <v>0</v>
      </c>
      <c r="L57" s="455"/>
      <c r="M57" s="455"/>
      <c r="N57" s="455"/>
      <c r="AG57" s="455"/>
    </row>
    <row r="58" spans="1:33" ht="38.25" hidden="1">
      <c r="A58" s="1302"/>
      <c r="B58" s="399" t="s">
        <v>181</v>
      </c>
      <c r="C58" s="1294"/>
      <c r="D58" s="389"/>
      <c r="E58" s="395"/>
      <c r="F58" s="370"/>
      <c r="G58" s="395"/>
      <c r="H58" s="395"/>
      <c r="I58" s="491">
        <f t="shared" si="16"/>
        <v>0</v>
      </c>
      <c r="J58" s="495">
        <f t="shared" si="13"/>
        <v>0</v>
      </c>
      <c r="K58" s="375">
        <f t="shared" si="15"/>
        <v>0</v>
      </c>
      <c r="L58" s="455"/>
      <c r="M58" s="455"/>
      <c r="N58" s="455"/>
      <c r="AG58" s="455"/>
    </row>
    <row r="59" spans="1:33" ht="27" hidden="1" customHeight="1">
      <c r="A59" s="1302"/>
      <c r="B59" s="399" t="s">
        <v>82</v>
      </c>
      <c r="C59" s="1294"/>
      <c r="D59" s="367"/>
      <c r="E59" s="395"/>
      <c r="F59" s="370"/>
      <c r="G59" s="395"/>
      <c r="H59" s="395"/>
      <c r="I59" s="491">
        <f t="shared" si="16"/>
        <v>0</v>
      </c>
      <c r="J59" s="494">
        <f t="shared" si="13"/>
        <v>0</v>
      </c>
      <c r="K59" s="375">
        <f t="shared" si="15"/>
        <v>0</v>
      </c>
      <c r="L59" s="455"/>
      <c r="M59" s="455"/>
      <c r="N59" s="455"/>
      <c r="AG59" s="455"/>
    </row>
    <row r="60" spans="1:33" ht="27.75" customHeight="1" thickBot="1">
      <c r="A60" s="1302"/>
      <c r="B60" s="399" t="s">
        <v>88</v>
      </c>
      <c r="C60" s="367" t="s">
        <v>90</v>
      </c>
      <c r="D60" s="496">
        <v>1</v>
      </c>
      <c r="E60" s="497">
        <v>3016</v>
      </c>
      <c r="F60" s="498">
        <f>D60*E60</f>
        <v>3016</v>
      </c>
      <c r="G60" s="395"/>
      <c r="H60" s="395">
        <v>452.4</v>
      </c>
      <c r="I60" s="491">
        <f t="shared" si="16"/>
        <v>2081.04</v>
      </c>
      <c r="J60" s="499">
        <f t="shared" si="13"/>
        <v>5549.4400000000005</v>
      </c>
      <c r="K60" s="375">
        <f t="shared" si="15"/>
        <v>66593.279999999999</v>
      </c>
      <c r="L60" s="455"/>
    </row>
    <row r="61" spans="1:33" ht="39.75" hidden="1" customHeight="1" thickBot="1">
      <c r="A61" s="1417"/>
      <c r="B61" s="384" t="s">
        <v>182</v>
      </c>
      <c r="C61" s="388" t="s">
        <v>92</v>
      </c>
      <c r="D61" s="388"/>
      <c r="E61" s="500"/>
      <c r="F61" s="382"/>
      <c r="G61" s="391"/>
      <c r="H61" s="391"/>
      <c r="I61" s="501">
        <f>(F61+G61+H61)*60%</f>
        <v>0</v>
      </c>
      <c r="J61" s="501">
        <f t="shared" si="13"/>
        <v>0</v>
      </c>
      <c r="K61" s="391">
        <f t="shared" si="14"/>
        <v>0</v>
      </c>
    </row>
    <row r="62" spans="1:33" ht="13.5" thickBot="1">
      <c r="A62" s="456"/>
      <c r="B62" s="502" t="s">
        <v>68</v>
      </c>
      <c r="C62" s="457"/>
      <c r="D62" s="463">
        <f t="shared" ref="D62:K62" si="17">SUM(D50:D61)</f>
        <v>3.75</v>
      </c>
      <c r="E62" s="503">
        <f t="shared" si="17"/>
        <v>12559</v>
      </c>
      <c r="F62" s="463">
        <f t="shared" si="17"/>
        <v>12052.5</v>
      </c>
      <c r="G62" s="463">
        <f t="shared" si="17"/>
        <v>903.42000000000007</v>
      </c>
      <c r="H62" s="463">
        <f t="shared" si="17"/>
        <v>2209.63</v>
      </c>
      <c r="I62" s="503">
        <f t="shared" si="17"/>
        <v>9099.3299999999981</v>
      </c>
      <c r="J62" s="463">
        <f t="shared" si="17"/>
        <v>24264.879999999997</v>
      </c>
      <c r="K62" s="504">
        <f t="shared" si="17"/>
        <v>291178.55999999994</v>
      </c>
    </row>
    <row r="63" spans="1:33" ht="30.75" customHeight="1">
      <c r="A63" s="505"/>
      <c r="B63" s="506" t="s">
        <v>56</v>
      </c>
      <c r="C63" s="368"/>
      <c r="D63" s="507"/>
      <c r="E63" s="508"/>
      <c r="F63" s="508"/>
      <c r="G63" s="508"/>
      <c r="H63" s="508"/>
      <c r="I63" s="508"/>
      <c r="J63" s="508">
        <f>J62*15%</f>
        <v>3639.7319999999995</v>
      </c>
      <c r="K63" s="375">
        <f t="shared" ref="K63" si="18">J63*12</f>
        <v>43676.783999999992</v>
      </c>
      <c r="AG63" s="455"/>
    </row>
    <row r="64" spans="1:33" ht="44.25" customHeight="1">
      <c r="A64" s="399"/>
      <c r="B64" s="509" t="s">
        <v>78</v>
      </c>
      <c r="C64" s="367"/>
      <c r="D64" s="510"/>
      <c r="E64" s="511"/>
      <c r="F64" s="511"/>
      <c r="G64" s="511"/>
      <c r="H64" s="511"/>
      <c r="I64" s="511"/>
      <c r="J64" s="389">
        <v>55435.39</v>
      </c>
      <c r="K64" s="375">
        <f>J64*12</f>
        <v>665224.67999999993</v>
      </c>
      <c r="T64" s="461">
        <f>J62+J63+J64</f>
        <v>83340.001999999993</v>
      </c>
    </row>
    <row r="65" spans="1:29" ht="26.25" thickBot="1">
      <c r="A65" s="399"/>
      <c r="B65" s="505" t="s">
        <v>172</v>
      </c>
      <c r="C65" s="388"/>
      <c r="D65" s="512"/>
      <c r="E65" s="513"/>
      <c r="F65" s="513"/>
      <c r="G65" s="513"/>
      <c r="H65" s="513"/>
      <c r="I65" s="513"/>
      <c r="J65" s="513">
        <v>5100</v>
      </c>
      <c r="K65" s="375">
        <f>J65*12</f>
        <v>61200</v>
      </c>
    </row>
    <row r="66" spans="1:29" ht="28.5" customHeight="1" thickBot="1">
      <c r="A66" s="514"/>
      <c r="B66" s="502" t="s">
        <v>103</v>
      </c>
      <c r="C66" s="457"/>
      <c r="D66" s="463">
        <f>D62+D63+D64+D65</f>
        <v>3.75</v>
      </c>
      <c r="E66" s="463">
        <f t="shared" ref="E66:I66" si="19">E62+E63+E64+E65</f>
        <v>12559</v>
      </c>
      <c r="F66" s="463">
        <f t="shared" si="19"/>
        <v>12052.5</v>
      </c>
      <c r="G66" s="463">
        <f t="shared" si="19"/>
        <v>903.42000000000007</v>
      </c>
      <c r="H66" s="463">
        <f t="shared" si="19"/>
        <v>2209.63</v>
      </c>
      <c r="I66" s="463">
        <f t="shared" si="19"/>
        <v>9099.3299999999981</v>
      </c>
      <c r="J66" s="463">
        <f>J62+J63+J64+J65</f>
        <v>88440.001999999993</v>
      </c>
      <c r="K66" s="464">
        <f>K62+K63+K64+K65</f>
        <v>1061280.0239999997</v>
      </c>
      <c r="Q66" s="364">
        <v>829060.17</v>
      </c>
      <c r="S66" s="476">
        <f>J66*12</f>
        <v>1061280.024</v>
      </c>
    </row>
    <row r="67" spans="1:29" ht="27" customHeight="1" thickBot="1">
      <c r="B67" s="515" t="s">
        <v>149</v>
      </c>
      <c r="C67" s="516"/>
      <c r="D67" s="517">
        <f>D33+D48+D66</f>
        <v>11.65</v>
      </c>
      <c r="E67" s="517">
        <f t="shared" ref="E67:K67" si="20">E33+E48+E66</f>
        <v>56963</v>
      </c>
      <c r="F67" s="517">
        <f t="shared" si="20"/>
        <v>74758.850000000006</v>
      </c>
      <c r="G67" s="517">
        <f t="shared" si="20"/>
        <v>11669.88</v>
      </c>
      <c r="H67" s="517">
        <f t="shared" si="20"/>
        <v>14806.54</v>
      </c>
      <c r="I67" s="517">
        <f t="shared" si="20"/>
        <v>60741.161999999997</v>
      </c>
      <c r="J67" s="517">
        <f t="shared" si="20"/>
        <v>335862.70319999999</v>
      </c>
      <c r="K67" s="517">
        <f t="shared" si="20"/>
        <v>4030352.3883999996</v>
      </c>
      <c r="S67" s="476">
        <f>J67*12</f>
        <v>4030352.4383999999</v>
      </c>
    </row>
    <row r="69" spans="1:29">
      <c r="B69" s="518" t="s">
        <v>99</v>
      </c>
      <c r="H69" s="518" t="s">
        <v>127</v>
      </c>
      <c r="K69" s="519"/>
    </row>
    <row r="70" spans="1:29">
      <c r="J70" s="520"/>
    </row>
    <row r="71" spans="1:29">
      <c r="D71" s="461"/>
    </row>
    <row r="72" spans="1:29">
      <c r="A72" s="1304" t="s">
        <v>151</v>
      </c>
      <c r="B72" s="1305"/>
      <c r="C72" s="1305"/>
      <c r="D72" s="469">
        <f>D33</f>
        <v>4.25</v>
      </c>
      <c r="E72" s="469">
        <f t="shared" ref="E72:K72" si="21">E33</f>
        <v>17964</v>
      </c>
      <c r="F72" s="469">
        <f t="shared" si="21"/>
        <v>22919</v>
      </c>
      <c r="G72" s="469">
        <f t="shared" si="21"/>
        <v>4570.28</v>
      </c>
      <c r="H72" s="469">
        <f t="shared" si="21"/>
        <v>4461.05</v>
      </c>
      <c r="I72" s="469">
        <f t="shared" si="21"/>
        <v>19170.197999999997</v>
      </c>
      <c r="J72" s="469">
        <f t="shared" si="21"/>
        <v>105785.1972</v>
      </c>
      <c r="K72" s="469">
        <f t="shared" si="21"/>
        <v>1269422.3663999999</v>
      </c>
      <c r="Z72" s="476"/>
      <c r="AA72" s="476"/>
      <c r="AB72" s="455"/>
      <c r="AC72" s="476"/>
    </row>
    <row r="73" spans="1:29">
      <c r="A73" s="1348" t="s">
        <v>153</v>
      </c>
      <c r="B73" s="1411"/>
      <c r="C73" s="521"/>
      <c r="D73" s="469">
        <f>D48</f>
        <v>3.65</v>
      </c>
      <c r="E73" s="469">
        <f t="shared" ref="E73:K73" si="22">E48</f>
        <v>26440</v>
      </c>
      <c r="F73" s="469">
        <f t="shared" si="22"/>
        <v>39787.35</v>
      </c>
      <c r="G73" s="469">
        <f t="shared" si="22"/>
        <v>6196.18</v>
      </c>
      <c r="H73" s="469">
        <f t="shared" si="22"/>
        <v>8135.8600000000006</v>
      </c>
      <c r="I73" s="469">
        <f t="shared" si="22"/>
        <v>32471.633999999995</v>
      </c>
      <c r="J73" s="469">
        <f t="shared" si="22"/>
        <v>141637.50400000002</v>
      </c>
      <c r="K73" s="469">
        <f t="shared" si="22"/>
        <v>1699649.9979999999</v>
      </c>
      <c r="P73" s="476"/>
    </row>
    <row r="74" spans="1:29">
      <c r="A74" s="1293" t="s">
        <v>152</v>
      </c>
      <c r="B74" s="1294"/>
      <c r="C74" s="1294"/>
      <c r="D74" s="522">
        <f>D66</f>
        <v>3.75</v>
      </c>
      <c r="E74" s="522">
        <f t="shared" ref="E74:K74" si="23">E66</f>
        <v>12559</v>
      </c>
      <c r="F74" s="522">
        <f t="shared" si="23"/>
        <v>12052.5</v>
      </c>
      <c r="G74" s="522">
        <f t="shared" si="23"/>
        <v>903.42000000000007</v>
      </c>
      <c r="H74" s="522">
        <f t="shared" si="23"/>
        <v>2209.63</v>
      </c>
      <c r="I74" s="522">
        <f t="shared" si="23"/>
        <v>9099.3299999999981</v>
      </c>
      <c r="J74" s="522">
        <f t="shared" si="23"/>
        <v>88440.001999999993</v>
      </c>
      <c r="K74" s="522">
        <f t="shared" si="23"/>
        <v>1061280.0239999997</v>
      </c>
    </row>
    <row r="75" spans="1:29">
      <c r="D75" s="461">
        <f>SUM(D72:D74)</f>
        <v>11.65</v>
      </c>
      <c r="E75" s="461">
        <f t="shared" ref="E75:J75" si="24">SUM(E72:E74)</f>
        <v>56963</v>
      </c>
      <c r="F75" s="461">
        <f t="shared" si="24"/>
        <v>74758.850000000006</v>
      </c>
      <c r="G75" s="461">
        <f t="shared" si="24"/>
        <v>11669.88</v>
      </c>
      <c r="H75" s="461">
        <f t="shared" si="24"/>
        <v>14806.54</v>
      </c>
      <c r="I75" s="461">
        <f t="shared" si="24"/>
        <v>60741.161999999997</v>
      </c>
      <c r="J75" s="461">
        <f t="shared" si="24"/>
        <v>335862.70319999999</v>
      </c>
      <c r="K75" s="461">
        <f>SUM(K71:K74)</f>
        <v>4030352.3883999996</v>
      </c>
    </row>
    <row r="76" spans="1:29">
      <c r="J76" s="461"/>
    </row>
    <row r="77" spans="1:29">
      <c r="B77" s="364" t="s">
        <v>194</v>
      </c>
      <c r="J77" s="461"/>
    </row>
    <row r="78" spans="1:29">
      <c r="J78" s="461"/>
    </row>
    <row r="80" spans="1:29">
      <c r="J80" s="461"/>
    </row>
    <row r="81" spans="10:10">
      <c r="J81" s="461"/>
    </row>
  </sheetData>
  <mergeCells count="30">
    <mergeCell ref="A74:C74"/>
    <mergeCell ref="A34:A44"/>
    <mergeCell ref="B34:K34"/>
    <mergeCell ref="A49:A61"/>
    <mergeCell ref="C49:K49"/>
    <mergeCell ref="C50:C59"/>
    <mergeCell ref="A72:C72"/>
    <mergeCell ref="I16:I17"/>
    <mergeCell ref="J16:J17"/>
    <mergeCell ref="K16:K17"/>
    <mergeCell ref="B18:K18"/>
    <mergeCell ref="A73:B73"/>
    <mergeCell ref="A19:A33"/>
    <mergeCell ref="E9:F9"/>
    <mergeCell ref="G9:H9"/>
    <mergeCell ref="E10:F10"/>
    <mergeCell ref="G10:H10"/>
    <mergeCell ref="A16:A17"/>
    <mergeCell ref="B16:B17"/>
    <mergeCell ref="C16:C17"/>
    <mergeCell ref="D16:D17"/>
    <mergeCell ref="E16:E17"/>
    <mergeCell ref="F16:F17"/>
    <mergeCell ref="G16:H16"/>
    <mergeCell ref="A7:K7"/>
    <mergeCell ref="I1:K1"/>
    <mergeCell ref="BS1:CJ1"/>
    <mergeCell ref="BU4:CJ4"/>
    <mergeCell ref="BU5:CJ5"/>
    <mergeCell ref="A6:K6"/>
  </mergeCells>
  <pageMargins left="0.51181102362204722" right="0.43307086614173229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фот</vt:lpstr>
      <vt:lpstr>ар 01.09</vt:lpstr>
      <vt:lpstr>дом 2021 г</vt:lpstr>
      <vt:lpstr>центр</vt:lpstr>
      <vt:lpstr>нов сад</vt:lpstr>
      <vt:lpstr>нов на 01.02.</vt:lpstr>
      <vt:lpstr>нов нс</vt:lpstr>
      <vt:lpstr>расс сад</vt:lpstr>
      <vt:lpstr>суриков сад</vt:lpstr>
      <vt:lpstr>свод по садам</vt:lpstr>
      <vt:lpstr>проточ ссап</vt:lpstr>
      <vt:lpstr>об сад нов</vt:lpstr>
      <vt:lpstr>Ц</vt:lpstr>
      <vt:lpstr>дт 2022</vt:lpstr>
      <vt:lpstr>Лист3</vt:lpstr>
      <vt:lpstr>аппар</vt:lpstr>
      <vt:lpstr>уб 2021</vt:lpstr>
      <vt:lpstr>2022</vt:lpstr>
      <vt:lpstr>шт 22</vt:lpstr>
      <vt:lpstr>шт ХЭК 1</vt:lpstr>
      <vt:lpstr>шт ХЭК2</vt:lpstr>
      <vt:lpstr>Лист7</vt:lpstr>
      <vt:lpstr>Лист8</vt:lpstr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Камиля Гильвановна</dc:creator>
  <cp:lastModifiedBy>Специалист</cp:lastModifiedBy>
  <cp:lastPrinted>2023-09-19T05:54:49Z</cp:lastPrinted>
  <dcterms:created xsi:type="dcterms:W3CDTF">2017-08-02T02:22:04Z</dcterms:created>
  <dcterms:modified xsi:type="dcterms:W3CDTF">2023-09-19T05:54:52Z</dcterms:modified>
</cp:coreProperties>
</file>